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YFa3W2oecEKHj37qQbQVsHLZ1xJeEpMQDVpGKnR9fAgfYMRjwe0doVGZab7oKsgxTq1bR9ALyoo1n/QEO/Jh4g==" workbookSaltValue="5WRZGENg+mAmGKp7NMaQ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8" i="2"/>
  <c r="N18" i="2"/>
  <c r="T13" i="12"/>
  <c r="V11" i="11"/>
  <c r="BI15" i="11"/>
  <c r="BG15" i="11"/>
  <c r="AP17" i="20"/>
  <c r="BU10" i="17"/>
  <c r="BW11" i="20"/>
  <c r="BU16" i="17"/>
  <c r="T13" i="16"/>
  <c r="AZ12" i="11"/>
  <c r="BH10" i="11"/>
  <c r="BH10" i="16"/>
  <c r="BM17" i="11"/>
  <c r="BH16" i="11"/>
  <c r="BJ16" i="11"/>
  <c r="T13" i="20"/>
  <c r="BF15" i="8"/>
  <c r="BF9" i="8"/>
  <c r="AU18" i="21"/>
  <c r="AH13" i="16"/>
  <c r="L15" i="2"/>
  <c r="L16" i="2"/>
  <c r="X10" i="21"/>
  <c r="U9" i="17"/>
  <c r="U19" i="17" s="1"/>
  <c r="L9" i="2"/>
  <c r="AP13" i="16"/>
  <c r="V9" i="16"/>
  <c r="T18" i="17"/>
  <c r="BG15" i="13"/>
  <c r="BE16" i="13"/>
  <c r="BE15" i="13"/>
  <c r="AX20" i="20"/>
  <c r="B18" i="7" l="1"/>
  <c r="S19" i="8"/>
  <c r="BG10" i="8"/>
  <c r="T9" i="11"/>
  <c r="V10" i="16"/>
  <c r="X15" i="16"/>
  <c r="X18" i="16" s="1"/>
  <c r="L17" i="2"/>
  <c r="L12" i="2"/>
  <c r="S16" i="17"/>
  <c r="L10" i="2"/>
  <c r="BL16" i="11"/>
  <c r="AQ12" i="21"/>
  <c r="BF15" i="11"/>
  <c r="Q15" i="17"/>
  <c r="AQ10"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<sst xmlns="http://schemas.openxmlformats.org/spreadsheetml/2006/main" count="2088" uniqueCount="910">
  <si>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</si>
  <si>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</si>
  <si>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</si>
  <si>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</si>
  <si>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</si>
  <si>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</si>
  <si>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</si>
  <si>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</si>
  <si>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</si>
  <si>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</si>
  <si>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</si>
  <si>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</si>
  <si>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</si>
  <si>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</si>
  <si>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</si>
  <si>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</si>
  <si>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</si>
  <si>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</si>
  <si>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</si>
  <si>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</si>
  <si>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</si>
  <si>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</si>
  <si>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</si>
  <si>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</si>
  <si>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</si>
  <si>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</si>
  <si>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</si>
  <si>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</si>
  <si>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</si>
  <si>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</si>
  <si>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</si>
  <si>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</si>
  <si>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</si>
  <si>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</si>
  <si>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</si>
  <si>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</si>
  <si>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</si>
  <si>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</si>
  <si>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</si>
  <si>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</si>
  <si>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</si>
  <si>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</si>
  <si>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</si>
  <si>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</si>
  <si>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</si>
  <si>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</si>
  <si>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</si>
  <si>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</si>
  <si>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</si>
  <si>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</si>
  <si>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</si>
  <si>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</si>
  <si>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</si>
  <si>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</si>
  <si>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</si>
  <si>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</si>
  <si>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</si>
  <si>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</si>
  <si>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</si>
  <si>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</si>
  <si>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</si>
  <si>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</si>
  <si>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</si>
  <si>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</si>
  <si>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</si>
  <si>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</si>
  <si>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</si>
  <si>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</si>
  <si>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</si>
  <si>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</si>
  <si>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</si>
  <si>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</si>
  <si>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</si>
  <si>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</si>
  <si>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</si>
  <si>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</si>
  <si>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</si>
  <si>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</si>
  <si>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</si>
  <si>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</si>
  <si>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</si>
  <si>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</si>
  <si>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</si>
  <si>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</si>
  <si>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</si>
  <si>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</si>
  <si>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</si>
  <si>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</si>
  <si>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</si>
  <si>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</si>
  <si>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</si>
  <si>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</si>
  <si>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</si>
  <si>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</si>
  <si>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</si>
  <si>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</si>
  <si>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</si>
  <si>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</si>
  <si>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</si>
  <si>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</si>
  <si>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</si>
  <si>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</si>
  <si>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</si>
  <si>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</si>
  <si>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</si>
  <si>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</si>
  <si>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</si>
  <si>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</si>
  <si>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</si>
  <si>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</si>
  <si>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</si>
  <si>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</si>
  <si>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</si>
  <si>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</si>
  <si>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</si>
  <si>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</si>
  <si>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</si>
  <si>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</si>
  <si>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</si>
  <si>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</si>
  <si>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</si>
  <si>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</si>
  <si>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</si>
  <si>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</si>
  <si>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</si>
  <si>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</si>
  <si>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</si>
  <si>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</si>
  <si>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</si>
  <si>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</si>
  <si>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</si>
  <si>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</si>
  <si>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</si>
  <si>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</si>
  <si>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</si>
  <si>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</si>
  <si>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</si>
  <si>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</si>
  <si>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</si>
  <si>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</si>
  <si>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</si>
  <si>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</si>
  <si>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</si>
  <si>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</si>
  <si>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</si>
  <si>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</si>
  <si>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</si>
  <si>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</si>
  <si>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</si>
  <si>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</si>
  <si>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</si>
  <si>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</si>
  <si>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</si>
  <si>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</si>
  <si>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</si>
  <si>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</si>
  <si>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</si>
  <si>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</si>
  <si>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</si>
  <si>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</si>
  <si>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</si>
  <si>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</si>
  <si>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</si>
  <si>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</si>
  <si>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</si>
  <si>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</si>
  <si>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</si>
  <si>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</si>
  <si>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</si>
  <si>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</si>
  <si>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</si>
  <si>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</si>
  <si>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</si>
  <si>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</si>
  <si>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</si>
  <si>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</si>
  <si>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</si>
  <si>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</si>
  <si>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</si>
  <si>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</si>
  <si>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</si>
  <si>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</si>
  <si>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</si>
  <si>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</si>
  <si>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</si>
  <si>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</si>
  <si>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</si>
  <si>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</si>
  <si>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</si>
  <si>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</si>
  <si>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</si>
  <si>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</si>
  <si>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</si>
  <si>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</si>
  <si>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</si>
  <si>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</si>
  <si>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</si>
  <si>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</si>
  <si>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</si>
  <si>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</si>
  <si>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</si>
  <si>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</si>
  <si>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</si>
  <si>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</si>
  <si>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</si>
  <si>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</si>
  <si>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</si>
  <si>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</si>
  <si>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</si>
  <si>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</si>
  <si>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</si>
  <si>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</si>
  <si>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</si>
  <si>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</si>
  <si>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</si>
  <si>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</si>
  <si>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</si>
  <si>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</si>
  <si>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</si>
  <si>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</si>
  <si>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</si>
  <si>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</si>
  <si>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</si>
  <si>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</si>
  <si>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</si>
  <si>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</si>
  <si>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</si>
  <si>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</si>
  <si>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</si>
  <si>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</si>
  <si>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</si>
  <si>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</si>
  <si>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</si>
  <si>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</si>
  <si>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</si>
  <si>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</si>
  <si>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</si>
  <si>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</si>
  <si>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</si>
  <si>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</si>
  <si>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</si>
  <si>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</si>
  <si>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</si>
  <si>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</si>
  <si>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</si>
  <si>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</si>
  <si>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</si>
  <si>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</si>
  <si>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</si>
  <si>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</si>
  <si>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</si>
  <si>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</si>
  <si>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</si>
  <si>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</si>
  <si>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</si>
  <si>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</si>
  <si>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</si>
  <si>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</si>
  <si>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</si>
  <si>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</si>
  <si>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</si>
  <si>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</si>
  <si>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</si>
  <si>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</si>
  <si>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</si>
  <si>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</si>
  <si>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</si>
  <si>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</si>
  <si>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</si>
  <si>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</si>
  <si>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</si>
  <si>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</si>
  <si>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</si>
  <si>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</si>
  <si>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</si>
  <si>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</si>
  <si>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</si>
  <si>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</si>
  <si>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</si>
  <si>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</si>
  <si>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</si>
  <si>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</si>
  <si>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</si>
  <si>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</si>
  <si>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</si>
  <si>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</si>
  <si>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</si>
  <si>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</si>
  <si>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</si>
  <si>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</si>
  <si>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</si>
  <si>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</si>
  <si>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</si>
  <si>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</si>
  <si>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</si>
  <si>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</si>
  <si>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</si>
  <si>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</si>
  <si>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</si>
  <si>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</si>
  <si>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</si>
  <si>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</si>
  <si>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</si>
  <si>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</si>
  <si>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</si>
  <si>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</si>
  <si>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</si>
  <si>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</si>
  <si>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</si>
  <si>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</si>
  <si>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</si>
  <si>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</si>
  <si>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</si>
  <si>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</si>
  <si>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</si>
  <si>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</si>
  <si>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</si>
  <si>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</si>
  <si>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</si>
  <si>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</si>
  <si>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</si>
  <si>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</si>
  <si>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</si>
  <si>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</si>
  <si>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</si>
  <si>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</si>
  <si>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</si>
  <si>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</si>
  <si>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</si>
  <si>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</si>
  <si>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</si>
  <si>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</si>
  <si>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</si>
  <si>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</si>
  <si>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</si>
  <si>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</si>
  <si>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</si>
  <si>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</si>
  <si>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</si>
  <si>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</si>
  <si>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</si>
  <si>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</si>
  <si>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</si>
  <si>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</si>
  <si>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</si>
  <si>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</si>
  <si>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</si>
  <si>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</si>
  <si>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</si>
  <si>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</si>
  <si>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</si>
  <si>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</si>
  <si>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</si>
  <si>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</si>
  <si>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</si>
  <si>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</si>
  <si>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</si>
  <si>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</si>
  <si>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</si>
  <si>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</si>
  <si>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</si>
  <si>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</si>
  <si>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</si>
  <si>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</si>
  <si>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</si>
  <si>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</si>
  <si>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</si>
  <si>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</si>
  <si>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</si>
  <si>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</si>
  <si>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</si>
  <si>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</si>
  <si>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</si>
  <si>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</si>
  <si>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</si>
  <si>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</si>
  <si>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</si>
  <si>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</si>
  <si>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</si>
  <si>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</si>
  <si>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</si>
  <si>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</si>
  <si>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</si>
  <si>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</si>
  <si>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</si>
  <si>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</si>
  <si>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</si>
  <si>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</si>
  <si>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</si>
  <si>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</si>
  <si>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</si>
  <si>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</si>
  <si>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</si>
  <si>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</si>
  <si>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</si>
  <si>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</si>
  <si>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</si>
  <si>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</si>
  <si>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</si>
  <si>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</si>
  <si>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</si>
  <si>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</si>
  <si>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</si>
  <si>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</si>
  <si>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</si>
  <si>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</si>
  <si>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</si>
  <si>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</si>
  <si>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</si>
  <si>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</si>
  <si>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</si>
  <si>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</si>
  <si>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</si>
  <si>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</si>
  <si>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</si>
  <si>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</si>
  <si>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</si>
  <si>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</si>
  <si>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</si>
  <si>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</si>
  <si>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</si>
  <si>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</si>
  <si>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</si>
  <si>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</si>
  <si>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</si>
  <si>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</si>
  <si>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</si>
  <si>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</si>
  <si>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</si>
  <si>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</si>
  <si>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</si>
  <si>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</si>
  <si>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</si>
  <si>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</si>
  <si>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</si>
  <si>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</si>
  <si>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</si>
  <si>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</si>
  <si>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</si>
  <si>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</si>
  <si>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</si>
  <si>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</si>
  <si>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</si>
  <si>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</si>
  <si>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</si>
  <si>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</si>
  <si>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</si>
  <si>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</si>
  <si>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</si>
  <si>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</si>
  <si>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</si>
  <si>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</si>
  <si>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</si>
  <si>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</si>
  <si>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</si>
  <si>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</si>
  <si>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</si>
  <si>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</si>
  <si>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</si>
  <si>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</si>
  <si>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</si>
  <si>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</si>
  <si>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</si>
  <si>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</si>
  <si>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</si>
  <si>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</si>
  <si>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</si>
  <si>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</si>
  <si>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</si>
  <si>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</si>
  <si>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</si>
  <si>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</si>
  <si>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</si>
  <si>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</si>
  <si>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</si>
  <si>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</si>
  <si>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</si>
  <si>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</si>
  <si>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</si>
  <si>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</si>
  <si>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</si>
  <si>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</si>
  <si>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</si>
  <si>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</si>
  <si>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</si>
  <si>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</si>
  <si>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</si>
  <si>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</si>
  <si>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</si>
  <si>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</si>
  <si>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</si>
  <si>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</si>
  <si>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</si>
  <si>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</si>
  <si>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</si>
  <si>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</si>
  <si>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</si>
  <si>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</si>
  <si>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</si>
  <si>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</si>
  <si>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</si>
  <si>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</si>
  <si>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</si>
  <si>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</si>
  <si>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</si>
  <si>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</si>
  <si>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</si>
  <si>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</si>
  <si>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</si>
  <si>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</si>
  <si>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</si>
  <si>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</si>
  <si>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</si>
  <si>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</si>
  <si>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</si>
  <si>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</si>
  <si>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</si>
  <si>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</si>
  <si>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</si>
  <si>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</si>
  <si>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</si>
  <si>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</si>
  <si>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</si>
  <si>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</si>
  <si>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</si>
  <si>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</si>
  <si>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</si>
  <si>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</si>
  <si>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</si>
  <si>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</si>
  <si>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</si>
  <si>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</si>
  <si>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</si>
  <si>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</si>
  <si>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</si>
  <si>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</si>
  <si>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</si>
  <si>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</si>
  <si>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</si>
  <si>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</si>
  <si>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</si>
  <si>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</si>
  <si>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</si>
  <si>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</si>
  <si>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</si>
  <si>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</si>
  <si>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</si>
  <si>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</si>
  <si>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</si>
  <si>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</si>
  <si>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</si>
  <si>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</si>
  <si>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</si>
  <si>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</si>
  <si>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</si>
  <si>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</si>
  <si>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</si>
  <si>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</si>
  <si>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</si>
  <si>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</si>
  <si>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</si>
  <si>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</si>
  <si>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</si>
  <si>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</si>
  <si>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</si>
  <si>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</si>
  <si>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</si>
  <si>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</si>
  <si>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</si>
  <si>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</si>
  <si>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</si>
  <si>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</si>
  <si>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</si>
  <si>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</si>
  <si>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</si>
  <si>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</si>
  <si>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</si>
  <si>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</si>
  <si>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</si>
  <si>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</si>
  <si>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</si>
  <si>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</si>
  <si>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</si>
  <si>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</si>
  <si>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</si>
  <si>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</si>
  <si>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</si>
  <si>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</si>
  <si>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</si>
  <si>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</si>
  <si>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</si>
  <si>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</si>
  <si>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</si>
  <si>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</si>
  <si>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</si>
  <si>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</si>
  <si>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</si>
  <si>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</si>
  <si>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</si>
  <si>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</si>
  <si>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</si>
  <si>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</si>
  <si>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</si>
  <si>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</si>
  <si>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</si>
  <si>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</si>
  <si>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</si>
  <si>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</si>
  <si>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</si>
  <si>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</si>
  <si>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</si>
  <si>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</si>
  <si>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</si>
  <si>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</si>
  <si>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</si>
  <si>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</si>
  <si>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</si>
  <si>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</si>
  <si>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</si>
  <si>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</si>
  <si>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</si>
  <si>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</si>
  <si>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</si>
  <si>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</si>
  <si>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</si>
  <si>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</si>
  <si>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</si>
  <si>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</si>
  <si>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</si>
  <si>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</si>
  <si>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</si>
  <si>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</si>
  <si>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</si>
  <si>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</si>
  <si>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</si>
  <si>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</si>
  <si>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</si>
  <si>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</si>
  <si>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</si>
  <si>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</si>
  <si>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</si>
  <si>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</si>
  <si>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</si>
  <si>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</si>
  <si>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</si>
  <si>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</si>
  <si>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</si>
  <si>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</si>
  <si>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</si>
  <si>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</si>
  <si>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</si>
  <si>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</si>
  <si>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</si>
  <si>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</si>
  <si>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</si>
  <si>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</si>
  <si>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</si>
  <si>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</si>
  <si>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</si>
  <si>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</si>
  <si>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</si>
  <si>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</si>
  <si>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</si>
  <si>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</si>
  <si>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</si>
  <si>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</si>
  <si>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</si>
  <si>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</si>
  <si>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</si>
  <si>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</si>
  <si>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</si>
  <si>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</si>
  <si>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</si>
  <si>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</si>
  <si>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</si>
  <si>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</si>
  <si>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</si>
  <si>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</si>
  <si>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</si>
  <si>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</si>
  <si>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</si>
  <si>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</si>
  <si>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</si>
  <si>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</si>
  <si>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</si>
  <si>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</si>
  <si>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</si>
  <si>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</si>
  <si>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</si>
  <si>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</si>
  <si>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</si>
  <si>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</si>
  <si>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</si>
  <si>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</si>
  <si>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</si>
  <si>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</si>
  <si>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</si>
  <si>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</si>
  <si>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</si>
  <si>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</si>
  <si>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</si>
  <si>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</si>
  <si>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</si>
  <si>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</si>
  <si>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</si>
  <si>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</si>
  <si>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</si>
  <si>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</si>
  <si>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</si>
  <si>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</si>
  <si>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</si>
  <si>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</si>
  <si>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</si>
  <si>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</si>
  <si>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</si>
  <si>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</si>
  <si>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</si>
  <si>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</si>
  <si>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</si>
  <si>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</si>
  <si>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</si>
  <si>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</si>
  <si>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</si>
  <si>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</si>
  <si>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</si>
  <si>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</si>
  <si>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</si>
  <si>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</si>
  <si>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</si>
  <si>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</si>
  <si>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</si>
  <si>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</si>
  <si>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</si>
  <si>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</si>
  <si>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</si>
  <si>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</si>
  <si>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</si>
  <si>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</si>
  <si>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</si>
  <si>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</si>
  <si>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</si>
  <si>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</si>
  <si>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</si>
  <si>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</si>
  <si>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</si>
  <si>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</si>
  <si>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</si>
  <si>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</si>
  <si>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</si>
  <si>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</si>
  <si>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</si>
  <si>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</si>
  <si>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</si>
  <si>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</si>
  <si>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</si>
  <si>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</si>
  <si>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</si>
  <si>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</si>
  <si>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</si>
  <si>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</si>
  <si>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</si>
  <si>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</si>
  <si>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</si>
  <si>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</si>
  <si>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</si>
  <si>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</si>
  <si>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</si>
  <si>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</si>
  <si>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</si>
  <si>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</si>
  <si>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</si>
  <si>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</si>
  <si>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</si>
  <si>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</si>
  <si>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</si>
  <si>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</si>
  <si>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</si>
  <si>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</si>
  <si>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</si>
  <si>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</si>
  <si>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</si>
  <si>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</si>
  <si>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</si>
  <si>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</si>
  <si>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</si>
  <si>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</si>
  <si>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</si>
  <si>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</si>
  <si>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</si>
  <si>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</si>
  <si>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</si>
  <si>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</si>
  <si>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</si>
  <si>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</si>
  <si>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</si>
  <si>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</si>
  <si>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</si>
  <si>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</si>
  <si>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</si>
  <si>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</si>
  <si>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</si>
  <si>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</si>
  <si>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</si>
  <si>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</si>
  <si>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</si>
  <si>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</si>
  <si>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</si>
  <si>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</si>
  <si>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</si>
  <si>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</si>
  <si>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</si>
  <si>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</si>
  <si>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</si>
  <si>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</si>
  <si>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</si>
  <si>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</si>
  <si>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</si>
  <si>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</si>
  <si>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</si>
  <si>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</si>
  <si>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</si>
  <si>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</si>
  <si>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</si>
  <si>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</si>
  <si>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</si>
  <si>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</si>
  <si>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</si>
  <si>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</si>
  <si>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</si>
  <si>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</si>
  <si>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</si>
  <si>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</si>
  <si>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</si>
  <si>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</si>
  <si>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</si>
  <si>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</si>
  <si>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</si>
  <si>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</si>
  <si>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</si>
  <si>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</si>
  <si>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</si>
  <si>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</si>
  <si>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</si>
  <si>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</si>
  <si>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</si>
  <si>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</si>
  <si>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</si>
  <si>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</si>
  <si>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</si>
  <si>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</si>
  <si>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</si>
  <si>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</si>
  <si>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</si>
  <si>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</si>
  <si>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</si>
  <si>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</si>
  <si>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</si>
  <si>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</si>
  <si>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</si>
  <si>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</si>
  <si>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</si>
  <si>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</si>
  <si>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</si>
  <si>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</si>
  <si>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</si>
  <si>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</si>
  <si>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</si>
  <si>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</si>
  <si>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</si>
  <si>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</si>
  <si>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</si>
  <si>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</si>
  <si>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</si>
  <si>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</si>
  <si>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</si>
  <si>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</si>
  <si>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</si>
  <si>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</si>
  <si>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</si>
  <si>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</si>
  <si>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</si>
  <si>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</si>
  <si>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</si>
  <si>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</si>
  <si>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</si>
  <si>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</si>
  <si>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</si>
  <si>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</si>
  <si>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</si>
  <si>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</si>
  <si>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</si>
  <si>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</si>
  <si>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</si>
  <si>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</si>
  <si>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</si>
  <si>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</si>
  <si>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</si>
  <si>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</si>
  <si>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</si>
  <si>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</si>
  <si>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</si>
  <si>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</si>
  <si>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</si>
  <si>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</si>
  <si>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</si>
  <si>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</si>
  <si>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</si>
  <si>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LAS PALMAS</t>
  </si>
  <si>
    <t>Resumenes por Partidos Judiciales</t>
  </si>
  <si>
    <t>ARRECIFE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</si>
</sst>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cW6NEZiHCLV7ChfMu5HqLmzJx1JNxcj96hn4Jk4QAI9Si59bvgy3N4hDBnEMZxf2MqHHsEJJBgu6rRc4zEjsA==" saltValue="TNMe/tN8BhOAqlfoIZfp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22.780191693290735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31</v>
      </c>
      <c r="F10" s="226">
        <f>IF(ISNUMBER(Datos!K10),Datos!K10," - ")</f>
        <v>31</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5.32258064516129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31</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2178</v>
      </c>
      <c r="D15" s="225">
        <f>IF(ISNUMBER(IF(D_I="SI",Datos!I15,Datos!I15+Datos!AC15)),IF(D_I="SI",Datos!I15,Datos!I15+Datos!AC15)," - ")</f>
        <v>2143</v>
      </c>
      <c r="E15" s="226">
        <f>IF(ISNUMBER(IF(D_I="SI",Datos!J15,Datos!J15+Datos!AD15)),IF(D_I="SI",Datos!J15,Datos!J15+Datos!AD15)," - ")</f>
        <v>3851</v>
      </c>
      <c r="F15" s="226">
        <f>IF(ISNUMBER(IF(D_I="SI",Datos!K15,Datos!K15+Datos!AE15)),IF(D_I="SI",Datos!K15,Datos!K15+Datos!AE15)," - ")</f>
        <v>3801</v>
      </c>
      <c r="G15" s="1034" t="str">
        <f>IF(Datos!E15&lt;&gt;"",Datos!E15,Datos!D15)</f>
        <v>03</v>
      </c>
      <c r="H15" s="227">
        <f>IF(ISNUMBER(IF(D_I="SI",Datos!L15,Datos!L15+Datos!AF15)),IF(D_I="SI",Datos!L15,Datos!L15+Datos!AF15)," - ")</f>
        <v>2228</v>
      </c>
      <c r="I15" s="1044" t="str">
        <f>IF(ISNUMBER(Datos!AS15/Datos!BM15),Datos!AS15/Datos!BM15," - ")</f>
        <v xml:space="preserve"> - </v>
      </c>
      <c r="J15" s="1045">
        <f>IF(ISNUMBER(Datos!BY15/Datos!CN15),Datos!BY15/Datos!CN15," - ")</f>
        <v>0</v>
      </c>
      <c r="K15" s="230">
        <f t="shared" ref="K15:K17" si="3">IF(ISNUMBER((E15-F15)/C15),(E15-F15)/C15," - ")</f>
        <v>2.2956841138659319E-2</v>
      </c>
      <c r="L15" s="1025">
        <f>IF(ISNUMBER(NºAsuntos!I15/NºAsuntos!G15),(NºAsuntos!I15/NºAsuntos!G15)*11," - ")</f>
        <v>6.4477769008155752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183</v>
      </c>
      <c r="F17" s="226">
        <f>IF(ISNUMBER(IF(D_I="SI",Datos!K17,Datos!K17+Datos!AE17)),IF(D_I="SI",Datos!K17,Datos!K17+Datos!AE17)," - ")</f>
        <v>174</v>
      </c>
      <c r="G17" s="1034" t="str">
        <f>IF(Datos!E17&lt;&gt;"",Datos!E17,Datos!D17)</f>
        <v>37</v>
      </c>
      <c r="H17" s="227">
        <f>IF(ISNUMBER(IF(D_I="SI",Datos!L17,Datos!L17+Datos!AF17)),IF(D_I="SI",Datos!L17,Datos!L17+Datos!AF17)," - ")</f>
        <v>100</v>
      </c>
      <c r="I17" s="1044" t="str">
        <f>IF(ISNUMBER(Datos!AS17/Datos!BM17),Datos!AS17/Datos!BM17," - ")</f>
        <v xml:space="preserve"> - </v>
      </c>
      <c r="J17" s="1045" t="str">
        <f>IF(ISNUMBER((Datos!BY17+Datos!BZ17)/Datos!CN17),(Datos!BY17+Datos!BZ17)/Datos!CN17," - ")</f>
        <v xml:space="preserve"> - </v>
      </c>
      <c r="K17" s="230">
        <f t="shared" si="3"/>
        <v>9.8901098901098897E-2</v>
      </c>
      <c r="L17" s="1025">
        <f>IF(ISNUMBER(NºAsuntos!I17/NºAsuntos!G17),(NºAsuntos!I17/NºAsuntos!G17)*11," - ")</f>
        <v>6.3218390804597693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2269</v>
      </c>
      <c r="D18" s="1049">
        <f>SUBTOTAL(9,D15:D17)</f>
        <v>2234</v>
      </c>
      <c r="E18" s="1050">
        <f>SUBTOTAL(9,E15:E17)</f>
        <v>4034</v>
      </c>
      <c r="F18" s="1050">
        <f>SUBTOTAL(9,F15:F17)</f>
        <v>3975</v>
      </c>
      <c r="G18" s="1052" t="str">
        <f ca="1">INDIRECT(CONCATENATE("G",ROW()-1))</f>
        <v>37</v>
      </c>
      <c r="H18" s="1053">
        <f ca="1">SUMIF(G$14:G17,G18,H$14:H17)</f>
        <v>100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2284</v>
      </c>
      <c r="D19" s="1071">
        <f>SUBTOTAL(9,D9:D18)</f>
        <v>2249</v>
      </c>
      <c r="E19" s="1072">
        <f>SUBTOTAL(9,E9:E18)</f>
        <v>4065</v>
      </c>
      <c r="F19" s="1072">
        <f>SUBTOTAL(9,F9:F18)</f>
        <v>4006</v>
      </c>
      <c r="G19" s="1073"/>
      <c r="H19" s="1074">
        <f ca="1">SUMIF(B9:B18,"TOTAL",H9:H18)</f>
        <v>100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jf9a4qP3baiWJgl1WrQXiVtwDnNfxbKd6XBF5r2lTyS1bInVQ5mC24I/kV5GkB6aLbkjZUwDf16Aq7i8uYWgAg==" saltValue="axKuOMSsuZkw0YcqryWk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rwPDqZWlLESJM78t34SMrFEXgqaQH/JpGmdr7esiZaUgnfzfS7gZWdKwsfl0Cx8LxKKYzwkvHbFuZRUmkUJKQ==" saltValue="GKWRd6tXrJUTpd10YS/I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6180</v>
      </c>
      <c r="J9" s="181">
        <v>3111</v>
      </c>
      <c r="K9" s="181">
        <v>2994</v>
      </c>
      <c r="L9" s="181">
        <v>6297</v>
      </c>
      <c r="M9" s="181">
        <v>661</v>
      </c>
      <c r="N9" s="181">
        <v>1813</v>
      </c>
      <c r="O9" s="181">
        <v>848</v>
      </c>
      <c r="P9" s="181">
        <v>408</v>
      </c>
      <c r="Q9" s="181">
        <v>532</v>
      </c>
      <c r="R9" s="181">
        <v>7256</v>
      </c>
      <c r="S9" s="181">
        <v>6057</v>
      </c>
      <c r="T9" s="181">
        <v>2424</v>
      </c>
      <c r="U9" s="181">
        <v>2437</v>
      </c>
      <c r="V9" s="181">
        <v>6051</v>
      </c>
      <c r="W9" s="181">
        <v>383</v>
      </c>
      <c r="X9" s="188">
        <v>1593</v>
      </c>
      <c r="Y9" s="191">
        <v>205</v>
      </c>
      <c r="Z9" s="181">
        <v>107</v>
      </c>
      <c r="AA9" s="181">
        <v>136</v>
      </c>
      <c r="AB9" s="181">
        <v>185</v>
      </c>
      <c r="AC9" s="181">
        <v>0</v>
      </c>
      <c r="AD9" s="181">
        <v>0</v>
      </c>
      <c r="AE9" s="181">
        <v>0</v>
      </c>
      <c r="AF9" s="188">
        <v>0</v>
      </c>
      <c r="AG9" s="191">
        <v>196</v>
      </c>
      <c r="AH9" s="181">
        <v>83</v>
      </c>
      <c r="AI9" s="181">
        <v>88</v>
      </c>
      <c r="AJ9" s="192">
        <v>193</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6253</v>
      </c>
      <c r="AZ9" s="123">
        <f>IF(ISNUMBER(IF(J_V="SI",T9,T9+AH9)),IF(J_V="SI",T9,T9+AH9)," - ")</f>
        <v>2507</v>
      </c>
      <c r="BA9" s="124">
        <f>IF(ISNUMBER(IF(J_V="SI",U9,U9+AI9)),IF(J_V="SI",U9,U9+AI9)," - ")</f>
        <v>2525</v>
      </c>
      <c r="BB9" s="124">
        <f>IF(ISNUMBER(IF(J_V="SI",V9,V9+AJ9)),IF(J_V="SI",V9,V9+AJ9)," - ")</f>
        <v>6244</v>
      </c>
      <c r="BC9" s="125">
        <f>IF(ISNUMBER(X9),X9," - ")</f>
        <v>1593</v>
      </c>
      <c r="BD9" s="126">
        <f>IF(ISNUMBER(BA9/AZ9),BA9/AZ9," - ")</f>
        <v>1.0071798962903868</v>
      </c>
      <c r="BE9" s="127">
        <f>IF(ISNUMBER(BB9/BA9),BB9/BA9, " - ")</f>
        <v>2.4728712871287128</v>
      </c>
      <c r="BF9" s="127">
        <f>IF(ISNUMBER(BC9/BA9),BC9/BA9, " - ")</f>
        <v>0.6308910891089109</v>
      </c>
      <c r="BG9" s="196">
        <f>IF(ISNUMBER((AY9+AZ9)/BA9),(AY9+AZ9)/BA9," - ")</f>
        <v>3.4693069306930693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31</v>
      </c>
      <c r="K10" s="181">
        <v>31</v>
      </c>
      <c r="L10" s="181">
        <v>15</v>
      </c>
      <c r="M10" s="181">
        <v>14</v>
      </c>
      <c r="N10" s="181">
        <v>13</v>
      </c>
      <c r="O10" s="181">
        <v>2</v>
      </c>
      <c r="P10" s="181">
        <v>0</v>
      </c>
      <c r="Q10" s="181">
        <v>0</v>
      </c>
      <c r="R10" s="181">
        <v>32</v>
      </c>
      <c r="S10" s="181">
        <v>14</v>
      </c>
      <c r="T10" s="181">
        <v>21</v>
      </c>
      <c r="U10" s="181">
        <v>17</v>
      </c>
      <c r="V10" s="181">
        <v>18</v>
      </c>
      <c r="W10" s="181">
        <v>2</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14</v>
      </c>
      <c r="AZ10" s="129">
        <f t="shared" si="0"/>
        <v>21</v>
      </c>
      <c r="BA10" s="129">
        <f t="shared" si="0"/>
        <v>17</v>
      </c>
      <c r="BB10" s="129">
        <f t="shared" si="0"/>
        <v>18</v>
      </c>
      <c r="BC10" s="125">
        <f t="shared" si="0"/>
        <v>2</v>
      </c>
      <c r="BD10" s="126">
        <f>IF(ISNUMBER(BA10/AZ10),BA10/AZ10," - ")</f>
        <v>0.80952380952380953</v>
      </c>
      <c r="BE10" s="127">
        <f>IF(ISNUMBER(BB10/BA10),BB10/BA10, " - ")</f>
        <v>1.0588235294117647</v>
      </c>
      <c r="BF10" s="127">
        <f>IF(ISNUMBER(BC10/BA10),BC10/BA10, " - ")</f>
        <v>0.11764705882352941</v>
      </c>
      <c r="BG10" s="196">
        <f>IF(ISNUMBER((AY10+AZ10)/BA10),(AY10+AZ10)/BA10," - ")</f>
        <v>2.0588235294117645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6195</v>
      </c>
      <c r="J13" s="184">
        <f t="shared" si="6"/>
        <v>3142</v>
      </c>
      <c r="K13" s="184">
        <f t="shared" si="6"/>
        <v>3025</v>
      </c>
      <c r="L13" s="184">
        <f t="shared" si="6"/>
        <v>6312</v>
      </c>
      <c r="M13" s="184">
        <f t="shared" si="6"/>
        <v>675</v>
      </c>
      <c r="N13" s="184">
        <f t="shared" si="6"/>
        <v>1826</v>
      </c>
      <c r="O13" s="184">
        <f t="shared" si="6"/>
        <v>850</v>
      </c>
      <c r="P13" s="184">
        <f t="shared" si="6"/>
        <v>408</v>
      </c>
      <c r="Q13" s="184">
        <f t="shared" si="6"/>
        <v>532</v>
      </c>
      <c r="R13" s="184">
        <f t="shared" si="6"/>
        <v>7288</v>
      </c>
      <c r="S13" s="184">
        <f t="shared" si="6"/>
        <v>6071</v>
      </c>
      <c r="T13" s="184">
        <f t="shared" si="6"/>
        <v>2445</v>
      </c>
      <c r="U13" s="184">
        <f t="shared" si="6"/>
        <v>2454</v>
      </c>
      <c r="V13" s="184">
        <f t="shared" si="6"/>
        <v>6069</v>
      </c>
      <c r="W13" s="184">
        <f t="shared" si="6"/>
        <v>385</v>
      </c>
      <c r="X13" s="184">
        <f t="shared" si="6"/>
        <v>1609</v>
      </c>
      <c r="Y13" s="184">
        <f t="shared" si="6"/>
        <v>205</v>
      </c>
      <c r="Z13" s="184">
        <f t="shared" si="6"/>
        <v>107</v>
      </c>
      <c r="AA13" s="184">
        <f t="shared" si="6"/>
        <v>136</v>
      </c>
      <c r="AB13" s="184">
        <f t="shared" si="6"/>
        <v>185</v>
      </c>
      <c r="AC13" s="184">
        <f t="shared" si="6"/>
        <v>0</v>
      </c>
      <c r="AD13" s="184">
        <f t="shared" si="6"/>
        <v>0</v>
      </c>
      <c r="AE13" s="184">
        <f t="shared" si="6"/>
        <v>0</v>
      </c>
      <c r="AF13" s="184">
        <f>SUBTOTAL(9,AF9:AF12)</f>
        <v>0</v>
      </c>
      <c r="AG13" s="184">
        <f t="shared" ref="AG13:AT13" si="7">SUBTOTAL(9,AG8:AG12)</f>
        <v>196</v>
      </c>
      <c r="AH13" s="184">
        <f t="shared" si="7"/>
        <v>83</v>
      </c>
      <c r="AI13" s="184">
        <f t="shared" si="7"/>
        <v>88</v>
      </c>
      <c r="AJ13" s="184">
        <f t="shared" si="7"/>
        <v>193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6267</v>
      </c>
      <c r="AZ13" s="184">
        <f>SUBTOTAL(9,AZ8:AZ12)</f>
        <v>2528</v>
      </c>
      <c r="BA13" s="184">
        <f>SUBTOTAL(9,BA8:BA12)</f>
        <v>2542</v>
      </c>
      <c r="BB13" s="184">
        <f>SUBTOTAL(9,BB8:BB12)</f>
        <v>6262</v>
      </c>
      <c r="BC13" s="184">
        <f>SUBTOTAL(9,BC8:BC12)</f>
        <v>1595</v>
      </c>
      <c r="BD13" s="205">
        <f>IF(ISNUMBER(BA13/AZ13),BA13/AZ13," - ")</f>
        <v>1.0055379746835442</v>
      </c>
      <c r="BE13" s="206">
        <f>IF(ISNUMBER(BB13/BA13),BB13/BA13, " - ")</f>
        <v>2.4634146341463414</v>
      </c>
      <c r="BF13" s="206">
        <f>IF(ISNUMBER(BC13/BA13),BC13/BA13, " - ")</f>
        <v>0.62745869394177811</v>
      </c>
      <c r="BG13" s="207">
        <f>IF(ISNUMBER((AY13+AZ13)/BA13),(AY13+AZ13)/BA13," - ")</f>
        <v>3.459874114870181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2143</v>
      </c>
      <c r="J15" s="183">
        <v>3851</v>
      </c>
      <c r="K15" s="183">
        <v>3801</v>
      </c>
      <c r="L15" s="183">
        <v>2228</v>
      </c>
      <c r="M15" s="183">
        <v>425</v>
      </c>
      <c r="N15" s="183">
        <v>2732</v>
      </c>
      <c r="O15" s="181">
        <v>30</v>
      </c>
      <c r="P15" s="183">
        <v>64</v>
      </c>
      <c r="Q15" s="183">
        <v>58</v>
      </c>
      <c r="R15" s="183">
        <v>351</v>
      </c>
      <c r="S15" s="183">
        <v>1679</v>
      </c>
      <c r="T15" s="183">
        <v>3561</v>
      </c>
      <c r="U15" s="183">
        <v>3495</v>
      </c>
      <c r="V15" s="183">
        <v>1762</v>
      </c>
      <c r="W15" s="183">
        <v>348</v>
      </c>
      <c r="X15" s="189">
        <v>2529</v>
      </c>
      <c r="Y15" s="202">
        <v>0</v>
      </c>
      <c r="Z15" s="183">
        <v>0</v>
      </c>
      <c r="AA15" s="183">
        <v>0</v>
      </c>
      <c r="AB15" s="183">
        <v>0</v>
      </c>
      <c r="AC15" s="183">
        <v>0</v>
      </c>
      <c r="AD15" s="183">
        <v>35</v>
      </c>
      <c r="AE15" s="183">
        <v>35</v>
      </c>
      <c r="AF15" s="189">
        <v>0</v>
      </c>
      <c r="AG15" s="202">
        <v>0</v>
      </c>
      <c r="AH15" s="183">
        <v>0</v>
      </c>
      <c r="AI15" s="183">
        <v>0</v>
      </c>
      <c r="AJ15" s="203">
        <v>0</v>
      </c>
      <c r="AK15" s="182">
        <v>0</v>
      </c>
      <c r="AL15" s="183">
        <v>68</v>
      </c>
      <c r="AM15" s="183">
        <v>68</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1679</v>
      </c>
      <c r="AZ15" s="129">
        <f t="shared" si="9"/>
        <v>3561</v>
      </c>
      <c r="BA15" s="129">
        <f t="shared" si="9"/>
        <v>3495</v>
      </c>
      <c r="BB15" s="129">
        <f t="shared" si="9"/>
        <v>1762</v>
      </c>
      <c r="BC15" s="125">
        <f>IF(ISNUMBER(W15),W15," - ")</f>
        <v>348</v>
      </c>
      <c r="BD15" s="126">
        <f>IF(ISNUMBER(BA15/AZ15),BA15/AZ15," - ")</f>
        <v>0.98146588037068239</v>
      </c>
      <c r="BE15" s="127">
        <f>IF(ISNUMBER(BB15/BA15),BB15/BA15, " - ")</f>
        <v>0.50414878397711016</v>
      </c>
      <c r="BF15" s="127">
        <f>IF(ISNUMBER(BC15/BA15),BC15/BA15, " - ")</f>
        <v>9.9570815450643779E-2</v>
      </c>
      <c r="BG15" s="196">
        <f t="shared" ref="BG15:BG16" si="10">IF(ISNUMBER((AY15+AZ15)/BA15),(AY15+AZ15)/BA15," - ")</f>
        <v>1.4992846924177397</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1</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183</v>
      </c>
      <c r="K17" s="183">
        <v>174</v>
      </c>
      <c r="L17" s="183">
        <v>100</v>
      </c>
      <c r="M17" s="183">
        <v>58</v>
      </c>
      <c r="N17" s="183">
        <v>74</v>
      </c>
      <c r="O17" s="183">
        <v>3</v>
      </c>
      <c r="P17" s="183">
        <v>8</v>
      </c>
      <c r="Q17" s="183">
        <v>4</v>
      </c>
      <c r="R17" s="183">
        <v>35</v>
      </c>
      <c r="S17" s="183">
        <v>89</v>
      </c>
      <c r="T17" s="183">
        <v>160</v>
      </c>
      <c r="U17" s="183">
        <v>168</v>
      </c>
      <c r="V17" s="183">
        <v>81</v>
      </c>
      <c r="W17" s="183">
        <v>47</v>
      </c>
      <c r="X17" s="189">
        <v>95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89</v>
      </c>
      <c r="AZ17" s="129">
        <f t="shared" si="14"/>
        <v>160</v>
      </c>
      <c r="BA17" s="129">
        <f t="shared" si="14"/>
        <v>168</v>
      </c>
      <c r="BB17" s="129">
        <f t="shared" si="14"/>
        <v>81</v>
      </c>
      <c r="BC17" s="125">
        <f>IF(ISNUMBER(W17),W17," - ")</f>
        <v>47</v>
      </c>
      <c r="BD17" s="126">
        <f>IF(ISNUMBER(BA17/AZ17),BA17/AZ17," - ")</f>
        <v>1.05</v>
      </c>
      <c r="BE17" s="127">
        <f>IF(ISNUMBER(BB17/BA17),BB17/BA17, " - ")</f>
        <v>0.48214285714285715</v>
      </c>
      <c r="BF17" s="127">
        <f>IF(ISNUMBER(BC17/BA17),BC17/BA17, " - ")</f>
        <v>0.27976190476190477</v>
      </c>
      <c r="BG17" s="196">
        <f>IF(ISNUMBER((AY17+AZ17)/BA17),(AY17+AZ17)/BA17," - ")</f>
        <v>1.4821428571428572</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2234</v>
      </c>
      <c r="J18" s="184">
        <f t="shared" si="15"/>
        <v>4034</v>
      </c>
      <c r="K18" s="184">
        <f t="shared" si="15"/>
        <v>3975</v>
      </c>
      <c r="L18" s="184">
        <f t="shared" si="15"/>
        <v>2328</v>
      </c>
      <c r="M18" s="184">
        <f t="shared" si="15"/>
        <v>483</v>
      </c>
      <c r="N18" s="184">
        <f t="shared" si="15"/>
        <v>2806</v>
      </c>
      <c r="O18" s="184">
        <f t="shared" si="15"/>
        <v>33</v>
      </c>
      <c r="P18" s="184">
        <f t="shared" si="15"/>
        <v>72</v>
      </c>
      <c r="Q18" s="184">
        <f t="shared" si="15"/>
        <v>62</v>
      </c>
      <c r="R18" s="184">
        <f t="shared" si="15"/>
        <v>387</v>
      </c>
      <c r="S18" s="184">
        <f t="shared" si="15"/>
        <v>1769</v>
      </c>
      <c r="T18" s="184">
        <f t="shared" si="15"/>
        <v>3721</v>
      </c>
      <c r="U18" s="184">
        <f t="shared" si="15"/>
        <v>3663</v>
      </c>
      <c r="V18" s="184">
        <f t="shared" si="15"/>
        <v>1844</v>
      </c>
      <c r="W18" s="184">
        <f t="shared" si="15"/>
        <v>395</v>
      </c>
      <c r="X18" s="184">
        <f t="shared" si="15"/>
        <v>2624</v>
      </c>
      <c r="Y18" s="184">
        <f t="shared" si="15"/>
        <v>0</v>
      </c>
      <c r="Z18" s="184">
        <f t="shared" si="15"/>
        <v>0</v>
      </c>
      <c r="AA18" s="184">
        <f t="shared" si="15"/>
        <v>0</v>
      </c>
      <c r="AB18" s="184">
        <f t="shared" si="15"/>
        <v>0</v>
      </c>
      <c r="AC18" s="184">
        <f t="shared" si="15"/>
        <v>0</v>
      </c>
      <c r="AD18" s="184">
        <f t="shared" si="15"/>
        <v>35</v>
      </c>
      <c r="AE18" s="184">
        <f t="shared" si="15"/>
        <v>35</v>
      </c>
      <c r="AF18" s="184">
        <f t="shared" si="15"/>
        <v>0</v>
      </c>
      <c r="AG18" s="184">
        <f t="shared" si="15"/>
        <v>0</v>
      </c>
      <c r="AH18" s="184">
        <f t="shared" si="15"/>
        <v>0</v>
      </c>
      <c r="AI18" s="184">
        <f t="shared" si="15"/>
        <v>0</v>
      </c>
      <c r="AJ18" s="184">
        <f t="shared" si="15"/>
        <v>0</v>
      </c>
      <c r="AK18" s="184">
        <f t="shared" si="15"/>
        <v>0</v>
      </c>
      <c r="AL18" s="184">
        <f t="shared" si="15"/>
        <v>68</v>
      </c>
      <c r="AM18" s="184">
        <f t="shared" si="15"/>
        <v>68</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1769</v>
      </c>
      <c r="AZ18" s="184">
        <f>SUBTOTAL(9,AZ14:AZ17)</f>
        <v>3721</v>
      </c>
      <c r="BA18" s="184">
        <f>SUBTOTAL(9,BA14:BA17)</f>
        <v>3663</v>
      </c>
      <c r="BB18" s="184">
        <f>SUBTOTAL(9,BB14:BB17)</f>
        <v>1844</v>
      </c>
      <c r="BC18" s="184">
        <f>SUBTOTAL(9,BC14:BC17)</f>
        <v>395</v>
      </c>
      <c r="BD18" s="205">
        <f>IF(ISNUMBER(BA18/AZ18),BA18/AZ18," - ")</f>
        <v>0.98441279226014511</v>
      </c>
      <c r="BE18" s="206">
        <f>IF(ISNUMBER(BB18/BA18),BB18/BA18, " - ")</f>
        <v>0.50341250341250343</v>
      </c>
      <c r="BF18" s="206">
        <f>IF(ISNUMBER(BC18/BA18),BC18/BA18, " - ")</f>
        <v>0.10783510783510783</v>
      </c>
      <c r="BG18" s="207">
        <f>IF(ISNUMBER((AY18+AZ18)/BA18),(AY18+AZ18)/BA18," - ")</f>
        <v>1.4987714987714988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8429</v>
      </c>
      <c r="J19" s="134">
        <f t="shared" si="18"/>
        <v>7176</v>
      </c>
      <c r="K19" s="134">
        <f t="shared" si="18"/>
        <v>7000</v>
      </c>
      <c r="L19" s="134">
        <f t="shared" si="18"/>
        <v>8640</v>
      </c>
      <c r="M19" s="134">
        <f t="shared" si="18"/>
        <v>1158</v>
      </c>
      <c r="N19" s="134">
        <f t="shared" si="18"/>
        <v>4632</v>
      </c>
      <c r="O19" s="134">
        <f t="shared" si="18"/>
        <v>883</v>
      </c>
      <c r="P19" s="134">
        <f t="shared" si="18"/>
        <v>480</v>
      </c>
      <c r="Q19" s="134">
        <f t="shared" si="18"/>
        <v>594</v>
      </c>
      <c r="R19" s="134">
        <f t="shared" si="18"/>
        <v>7675</v>
      </c>
      <c r="S19" s="134">
        <f t="shared" si="18"/>
        <v>7840</v>
      </c>
      <c r="T19" s="134">
        <f t="shared" si="18"/>
        <v>6166</v>
      </c>
      <c r="U19" s="134">
        <f t="shared" si="18"/>
        <v>6117</v>
      </c>
      <c r="V19" s="134">
        <f t="shared" si="18"/>
        <v>7913</v>
      </c>
      <c r="W19" s="134">
        <f t="shared" si="18"/>
        <v>780</v>
      </c>
      <c r="X19" s="134">
        <f t="shared" si="18"/>
        <v>4233</v>
      </c>
      <c r="Y19" s="134">
        <f t="shared" si="18"/>
        <v>205</v>
      </c>
      <c r="Z19" s="134">
        <f t="shared" si="18"/>
        <v>107</v>
      </c>
      <c r="AA19" s="134">
        <f t="shared" si="18"/>
        <v>136</v>
      </c>
      <c r="AB19" s="134">
        <f t="shared" si="18"/>
        <v>185</v>
      </c>
      <c r="AC19" s="134">
        <f t="shared" si="18"/>
        <v>0</v>
      </c>
      <c r="AD19" s="134">
        <f t="shared" si="18"/>
        <v>35</v>
      </c>
      <c r="AE19" s="134">
        <f t="shared" si="18"/>
        <v>35</v>
      </c>
      <c r="AF19" s="134">
        <f t="shared" si="18"/>
        <v>0</v>
      </c>
      <c r="AG19" s="134">
        <f t="shared" si="18"/>
        <v>196</v>
      </c>
      <c r="AH19" s="134">
        <f t="shared" si="18"/>
        <v>83</v>
      </c>
      <c r="AI19" s="134">
        <f t="shared" si="18"/>
        <v>88</v>
      </c>
      <c r="AJ19" s="134">
        <f t="shared" si="18"/>
        <v>193</v>
      </c>
      <c r="AK19" s="134">
        <f t="shared" si="18"/>
        <v>0</v>
      </c>
      <c r="AL19" s="134">
        <f t="shared" si="18"/>
        <v>68</v>
      </c>
      <c r="AM19" s="134">
        <f t="shared" si="18"/>
        <v>68</v>
      </c>
      <c r="AN19" s="210">
        <f t="shared" si="18"/>
        <v>0</v>
      </c>
      <c r="AO19" s="211">
        <v>10</v>
      </c>
      <c r="AP19" s="211">
        <v>9</v>
      </c>
      <c r="AQ19" s="211">
        <v>9</v>
      </c>
      <c r="AR19" s="211">
        <v>9</v>
      </c>
      <c r="AS19" s="153">
        <f t="shared" si="18"/>
        <v>0</v>
      </c>
      <c r="AT19" s="153">
        <f t="shared" si="18"/>
        <v>0</v>
      </c>
      <c r="AU19" s="211"/>
      <c r="AV19" s="212"/>
      <c r="AW19" s="211"/>
      <c r="AX19" s="212"/>
      <c r="AY19" s="133">
        <f>SUBTOTAL(9,AY9:AY18)</f>
        <v>8036</v>
      </c>
      <c r="AZ19" s="134">
        <f>SUBTOTAL(9,AZ9:AZ18)</f>
        <v>6249</v>
      </c>
      <c r="BA19" s="134">
        <f>SUBTOTAL(9,BA9:BA18)</f>
        <v>6205</v>
      </c>
      <c r="BB19" s="134">
        <f>SUBTOTAL(9,BB9:BB18)</f>
        <v>8106</v>
      </c>
      <c r="BC19" s="135">
        <f>SUBTOTAL(9,BC9:BC18)</f>
        <v>1990</v>
      </c>
      <c r="BD19" s="213">
        <f>IF(ISNUMBER(BA19/AZ19),BA19/AZ19," - ")</f>
        <v>0.9929588734197472</v>
      </c>
      <c r="BE19" s="210">
        <f>IF(ISNUMBER(BB19/BA19),BB19/BA19, " - ")</f>
        <v>1.3063658340048347</v>
      </c>
      <c r="BF19" s="210">
        <f>IF(ISNUMBER(BC19/BA19),BC19/BA19, " - ")</f>
        <v>0.32070910556003224</v>
      </c>
      <c r="BG19" s="135">
        <f>IF(ISNUMBER((AY19+AZ19)/BA19),(AY19+AZ19)/BA19," - ")</f>
        <v>2.3021756647864624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wjPb24BCPtHs/p8anPGiJFWuqWWXhFOq+Z0dMx6I0WF20gI2bOJ/3cNRJ7ayKvJPImEOTNouDD6n17a8M8DA==" saltValue="cRLwzkl1zgQhYUGx5+4h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3wfCmL7299f+2CwsMRR6AtL/b8Spi6iH2vPhHFwf/oeaw53Nb+8BMdD77AAdk1fiKCg6X+coVAQhGdrVA17Ww==" saltValue="cQlAxdQ4nhG4qRPMA5Rs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107</v>
      </c>
      <c r="O9" s="334"/>
      <c r="P9" s="334"/>
      <c r="Q9" s="226">
        <f>IF(ISNUMBER(Datos!P9),Datos!P9,0)</f>
        <v>408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185</v>
      </c>
      <c r="AI9" s="334" t="str">
        <f>IF(ISNUMBER(Datos!CD9),Datos!CD9,"-")</f>
        <v>-</v>
      </c>
      <c r="AJ9" s="334" t="str">
        <f>IF(ISNUMBER(Datos!EN9),Datos!EN9," - ")</f>
        <v xml:space="preserve"> - </v>
      </c>
      <c r="AK9" s="334"/>
      <c r="AL9" s="479"/>
      <c r="AM9" s="335">
        <f>IF(ISNUMBER(Datos!R9),Datos!R9," - ")</f>
        <v>7256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661</v>
      </c>
      <c r="BD9" s="229">
        <f>IF(ISNUMBER(Datos!N9),Datos!N9," - ")</f>
        <v>1813</v>
      </c>
      <c r="BE9" s="229" t="str">
        <f>IF(ISNUMBER(Datos!BW9),Datos!BW9," - ")</f>
        <v xml:space="preserve"> - </v>
      </c>
      <c r="BF9" s="228" t="str">
        <f>IF(ISNUMBER(Datos!BX9),Datos!BX9," - ")</f>
        <v xml:space="preserve"> - </v>
      </c>
      <c r="BG9" s="243">
        <f>IF(ISNUMBER(IF(J_V="SI",Datos!K9/Datos!J9,(Datos!K9+Datos!AA9)/(Datos!J9+Datos!Z9))),IF(J_V="SI",Datos!K9/Datos!J9,(Datos!K9+Datos!AA9)/(Datos!J9+Datos!Z9))," - ")</f>
        <v>0.97265382224984465</v>
      </c>
      <c r="BH9" s="260">
        <f>IF(ISNUMBER(((IF(J_V="SI",Datos!L9/Datos!K9,(Datos!L9+Datos!AB9)/(Datos!K9+Datos!AA9)))*11)/factor_trimestre),((IF(J_V="SI",Datos!L9/Datos!K9,(Datos!L9+Datos!AB9)/(Datos!K9+Datos!AA9)))*11)/factor_trimestre," - ")</f>
        <v>4.1418530351437699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-1.6802168021680216E-2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0</v>
      </c>
      <c r="AD10" s="334"/>
      <c r="AE10" s="484"/>
      <c r="AF10" s="332">
        <f>IF(ISNUMBER(Datos!L10),Datos!L10,"-")</f>
        <v>15</v>
      </c>
      <c r="AG10" s="334"/>
      <c r="AH10" s="334"/>
      <c r="AI10" s="334"/>
      <c r="AJ10" s="334"/>
      <c r="AK10" s="334"/>
      <c r="AL10" s="479"/>
      <c r="AM10" s="335">
        <f>IF(ISNUMBER(Datos!R10),Datos!R10," - ")</f>
        <v>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13</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0.96774193548387089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408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532</v>
      </c>
      <c r="AD13" s="899">
        <f t="shared" si="1"/>
        <v>0</v>
      </c>
      <c r="AE13" s="899">
        <f t="shared" si="1"/>
        <v>0</v>
      </c>
      <c r="AF13" s="899">
        <f t="shared" si="1"/>
        <v>15</v>
      </c>
      <c r="AG13" s="899">
        <f t="shared" si="1"/>
        <v>0</v>
      </c>
      <c r="AH13" s="899">
        <f t="shared" si="1"/>
        <v>185</v>
      </c>
      <c r="AI13" s="899">
        <f t="shared" si="1"/>
        <v>0</v>
      </c>
      <c r="AJ13" s="899">
        <f t="shared" si="1"/>
        <v>0</v>
      </c>
      <c r="AK13" s="899">
        <f t="shared" si="1"/>
        <v>0</v>
      </c>
      <c r="AL13" s="899">
        <f t="shared" si="1"/>
        <v>0</v>
      </c>
      <c r="AM13" s="899">
        <f t="shared" si="1"/>
        <v>7288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675</v>
      </c>
      <c r="BD13" s="899">
        <f t="shared" si="1"/>
        <v>1826</v>
      </c>
      <c r="BE13" s="899">
        <f t="shared" si="1"/>
        <v>0</v>
      </c>
      <c r="BF13" s="899">
        <f t="shared" si="1"/>
        <v>0</v>
      </c>
      <c r="BG13" s="899">
        <f>IF(ISNUMBER(Datos!K13/Datos!J13),Datos!K13/Datos!J13," - ")</f>
        <v>0.96276257161043921</v>
      </c>
      <c r="BH13" s="903">
        <f>IF(ISNUMBER(((Datos!L13/Datos!K13)*11)/factor_trimestre),((Datos!L13/Datos!K13)*11)/factor_trimestre," - ")</f>
        <v>4.1732231404958675</v>
      </c>
      <c r="BI13" s="899">
        <f>IF(ISNUMBER('Resol  Asuntos'!D13/NºAsuntos!G13),'Resol  Asuntos'!D13/NºAsuntos!G13," - ")</f>
        <v>0.21354001898133501</v>
      </c>
      <c r="BJ13" s="899" t="str">
        <f>IF(ISNUMBER(Datos!CI13/Datos!CJ13),Datos!CI13/Datos!CJ13," - ")</f>
        <v xml:space="preserve"> - </v>
      </c>
      <c r="BK13" s="899">
        <f>SUBTOTAL(9,BK8:BK12)</f>
        <v>0</v>
      </c>
      <c r="BL13" s="899">
        <f>IF(ISNUMBER((I13-AB13+L13)/(F13)),(I13-AB13+L13)/(F13)," - ")</f>
        <v>-2.0666666666666669</v>
      </c>
      <c r="BM13" s="904">
        <f>SUBTOTAL(9,BM9:BM12)</f>
        <v>-1.6802168021680216E-2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2178</v>
      </c>
      <c r="G15" s="598">
        <f>IF(ISNUMBER(IF(D_I="SI",Datos!I15,Datos!I15+Datos!AC15)),IF(D_I="SI",Datos!I15,Datos!I15+Datos!AC15)," - ")</f>
        <v>2143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3801</v>
      </c>
      <c r="AC15" s="226">
        <f>IF(ISNUMBER(Datos!Q15),Datos!Q15," - ")</f>
        <v>58</v>
      </c>
      <c r="AD15" s="334"/>
      <c r="AE15" s="484"/>
      <c r="AF15" s="596">
        <f>IF(ISNUMBER(IF(D_I="SI",Datos!L15,Datos!L15+Datos!AF15)),IF(D_I="SI",Datos!L15,Datos!L15+Datos!AF15)," - ")</f>
        <v>2228</v>
      </c>
      <c r="AG15" s="334"/>
      <c r="AH15" s="334"/>
      <c r="AI15" s="334"/>
      <c r="AJ15" s="334"/>
      <c r="AK15" s="334"/>
      <c r="AL15" s="479"/>
      <c r="AM15" s="335">
        <f>IF(ISNUMBER(Datos!R15),Datos!R15," - ")</f>
        <v>351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425</v>
      </c>
      <c r="BD15" s="229">
        <f>IF(ISNUMBER(Datos!N15),Datos!N15," - ")</f>
        <v>2732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0.98701635938717214</v>
      </c>
      <c r="BH15" s="260">
        <f>IF(ISNUMBER(((IF(D_I="SI",Datos!L15/Datos!K15,(Datos!L15+Datos!AF15)/(Datos!K15+Datos!AE15)))*11)/factor_trimestre),((IF(D_I="SI",Datos!L15/Datos!K15,(Datos!L15+Datos!AF15)/(Datos!K15+Datos!AE15)))*11)/factor_trimestre," - ")</f>
        <v>1.1723230728755591</v>
      </c>
      <c r="BI15" s="243">
        <f>IF(ISNUMBER('Resol  Asuntos'!D15/NºAsuntos!G15),'Resol  Asuntos'!D15/NºAsuntos!G15," - ")</f>
        <v>0.11181268087345435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174</v>
      </c>
      <c r="AC17" s="226">
        <f>IF(ISNUMBER(Datos!Q17),Datos!Q17," - ")</f>
        <v>4</v>
      </c>
      <c r="AD17" s="334"/>
      <c r="AE17" s="484"/>
      <c r="AF17" s="332">
        <f>IF(ISNUMBER(Datos!L17),Datos!L17,"-")</f>
        <v>100</v>
      </c>
      <c r="AG17" s="334"/>
      <c r="AH17" s="334"/>
      <c r="AI17" s="334"/>
      <c r="AJ17" s="334"/>
      <c r="AK17" s="334"/>
      <c r="AL17" s="479"/>
      <c r="AM17" s="335">
        <f>IF(ISNUMBER(Datos!R17),Datos!R17," - ")</f>
        <v>35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58</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0.95081967213114749</v>
      </c>
      <c r="BH17" s="260">
        <f>IF(ISNUMBER(((IF(D_I="SI",Datos!L17/Datos!K17,(Datos!L17+Datos!AF17)/(Datos!K17+Datos!AE17)))*11)/factor_trimestre),((IF(D_I="SI",Datos!L17/Datos!K17,(Datos!L17+Datos!AF17)/(Datos!K17+Datos!AE17)))*11)/factor_trimestre," - ")</f>
        <v>1.1494252873563218</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2178</v>
      </c>
      <c r="G18" s="898">
        <f>SUBTOTAL(9,G15:G17)</f>
        <v>2234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3975</v>
      </c>
      <c r="AC18" s="899">
        <f t="shared" si="4"/>
        <v>62</v>
      </c>
      <c r="AD18" s="899">
        <f t="shared" si="4"/>
        <v>0</v>
      </c>
      <c r="AE18" s="899">
        <f t="shared" si="4"/>
        <v>0</v>
      </c>
      <c r="AF18" s="899">
        <f t="shared" si="4"/>
        <v>2328</v>
      </c>
      <c r="AG18" s="899">
        <f t="shared" si="4"/>
        <v>0</v>
      </c>
      <c r="AH18" s="899">
        <f t="shared" si="4"/>
        <v>0</v>
      </c>
      <c r="AI18" s="899">
        <f t="shared" si="4"/>
        <v>0</v>
      </c>
      <c r="AJ18" s="899">
        <f t="shared" si="4"/>
        <v>0</v>
      </c>
      <c r="AK18" s="899">
        <f t="shared" si="4"/>
        <v>0</v>
      </c>
      <c r="AL18" s="899">
        <f t="shared" si="4"/>
        <v>0</v>
      </c>
      <c r="AM18" s="899">
        <f t="shared" si="4"/>
        <v>387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483</v>
      </c>
      <c r="BD18" s="899">
        <f t="shared" si="4"/>
        <v>2806</v>
      </c>
      <c r="BE18" s="899">
        <f t="shared" si="4"/>
        <v>0</v>
      </c>
      <c r="BF18" s="899">
        <f t="shared" si="4"/>
        <v>0</v>
      </c>
      <c r="BG18" s="899">
        <f>IF(ISNUMBER(Datos!K18/Datos!J18),Datos!K18/Datos!J18," - ")</f>
        <v>0.98537431829449673</v>
      </c>
      <c r="BH18" s="903">
        <f>IF(ISNUMBER(((Datos!L18/Datos!K18)*11)/factor_trimestre),((Datos!L18/Datos!K18)*11)/factor_trimestre," - ")</f>
        <v>1.171320754716981</v>
      </c>
      <c r="BI18" s="899">
        <f>SUBTOTAL(9,BI15:BI17)</f>
        <v>0.44514601420678768</v>
      </c>
      <c r="BJ18" s="899">
        <f>SUBTOTAL(9,BJ15:BJ17)</f>
        <v>0</v>
      </c>
      <c r="BK18" s="899">
        <f>SUBTOTAL(9,BK15:BK17)</f>
        <v>0</v>
      </c>
      <c r="BL18" s="899">
        <f>IF(ISNUMBER((I18-AB18+L18)/(F18)),(I18-AB18+L18)/(F18)," - ")</f>
        <v>-1.8250688705234159</v>
      </c>
      <c r="BM18" s="905">
        <f>IF(ISNUMBER((Datos!P18-Datos!Q18)/(Datos!R18-Datos!P18+Datos!Q18)),(Datos!P18-Datos!Q18)/(Datos!R18-Datos!P18+Datos!Q18)," - ")</f>
        <v>2.6525198938992044E-2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9</v>
      </c>
      <c r="F19" s="820">
        <f t="shared" si="6"/>
        <v>2193</v>
      </c>
      <c r="G19" s="820">
        <f t="shared" si="6"/>
        <v>2249</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480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4006</v>
      </c>
      <c r="AC19" s="821">
        <f t="shared" si="7"/>
        <v>594</v>
      </c>
      <c r="AD19" s="821">
        <f t="shared" si="7"/>
        <v>0</v>
      </c>
      <c r="AE19" s="821">
        <f t="shared" si="7"/>
        <v>0</v>
      </c>
      <c r="AF19" s="828">
        <f t="shared" si="7"/>
        <v>2343</v>
      </c>
      <c r="AG19" s="828">
        <f t="shared" si="7"/>
        <v>0</v>
      </c>
      <c r="AH19" s="828">
        <f t="shared" si="7"/>
        <v>185</v>
      </c>
      <c r="AI19" s="828">
        <f t="shared" si="7"/>
        <v>0</v>
      </c>
      <c r="AJ19" s="821">
        <f t="shared" si="7"/>
        <v>0</v>
      </c>
      <c r="AK19" s="828">
        <f t="shared" si="7"/>
        <v>0</v>
      </c>
      <c r="AL19" s="828">
        <f t="shared" si="7"/>
        <v>0</v>
      </c>
      <c r="AM19" s="828">
        <f t="shared" si="7"/>
        <v>7675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1158</v>
      </c>
      <c r="BD19" s="820">
        <f t="shared" si="7"/>
        <v>4632</v>
      </c>
      <c r="BE19" s="820">
        <f t="shared" si="7"/>
        <v>0</v>
      </c>
      <c r="BF19" s="830">
        <f t="shared" si="7"/>
        <v>0</v>
      </c>
      <c r="BG19" s="915">
        <f>IF(ISNUMBER(Datos!K19/Datos!J19),Datos!K19/Datos!J19," - ")</f>
        <v>0.97547380156075814</v>
      </c>
      <c r="BH19" s="915">
        <f>IF(ISNUMBER(((Datos!L19/Datos!K19)*11)/factor_trimestre),((Datos!L19/Datos!K19)*11)/factor_trimestre," - ")</f>
        <v>2.4685714285714284</v>
      </c>
      <c r="BI19" s="813">
        <f>IF(ISNUMBER(Datos!J19/Datos!I19),Datos!J19/Datos!I19," - ")</f>
        <v>0.85134654170126944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-1.8267213862289102</v>
      </c>
      <c r="BM19" s="889">
        <f>IF(ISNUMBER((Datos!P19-Datos!Q19+R19)/(Datos!R19-Datos!P19+Datos!Q19-R19)),(Datos!P19-Datos!Q19+R19)/(Datos!R19-Datos!P19+Datos!Q19-R19)," - ")</f>
        <v>-1.4636025163692386E-2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749.66666666666663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2.3979157616563596</v>
      </c>
      <c r="F21" s="551">
        <f>IF(ISNUMBER(STDEV(F8:F18)),STDEV(F8:F18),"-")</f>
        <v>1187.4782945384727</v>
      </c>
      <c r="G21" s="552">
        <f>IF(ISNUMBER(STDEV(G8:G18)),STDEV(G8:G18),"-")</f>
        <v>1115.3416815786393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1978.9761662704952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301.04120901266913</v>
      </c>
      <c r="BD21" s="551"/>
      <c r="BE21" s="551">
        <f>IF(ISNUMBER(STDEV(BE8:BE18)),STDEV(BE8:BE18),"-")</f>
        <v>0</v>
      </c>
      <c r="BF21" s="556">
        <f>IF(ISNUMBER(STDEV(BF8:BF18)),STDEV(BF8:BF18),"-")</f>
        <v>0</v>
      </c>
      <c r="BG21" s="775">
        <f>IF(ISNUMBER(STDEV(BG8:BG18)),STDEV(BG8:BG18),"-")</f>
        <v>1.7914035734029738E-2</v>
      </c>
      <c r="BH21" s="776">
        <f>IF(ISNUMBER(STDEV(BH8:BH18)),STDEV(BH8:BH18),"-")</f>
        <v>1.5729521407477969</v>
      </c>
      <c r="BI21" s="249">
        <f>IF(ISNUMBER(STDEV(BI8:BI18)),STDEV(BI8:BI18),"-")</f>
        <v>0.14463310267932983</v>
      </c>
      <c r="BJ21" s="230" t="str">
        <f>IF(ISNUMBER(BL21/BM21),BL21/BM21," - ")</f>
        <v xml:space="preserve"> - </v>
      </c>
      <c r="BK21" s="575"/>
      <c r="BL21" s="559">
        <f>IF(ISNUMBER(STDEV(BL8:BL18)),STDEV(BL8:BL18),"-")</f>
        <v>0.17083543997261785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MeGPvpfJ9rLvv+SURPhmF3cdsdzm3jo8oA/9nS5aOdTYaJO/ukWYIDMa+Q8RRy/jy7ctC8acbtZZ78ROx2pg==" saltValue="HX/5vH7jkO65nqyGErj/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ARRECIFE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408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532</v>
      </c>
      <c r="AA9" s="332" t="str">
        <f>IF(ISNUMBER(IF(J_V="SI",Datos!L9,Datos!L9+Datos!AB9)-IF(Monitorios="SI",Datos!CD9,0)),
                          IF(J_V="SI",Datos!L9,Datos!L9+Datos!AB9)-IF(Monitorios="SI",Datos!CD9,0),
                          " - ")</f>
        <v xml:space="preserve"> - </v>
      </c>
      <c r="AB9" s="334"/>
      <c r="AC9" s="334"/>
      <c r="AD9" s="484"/>
      <c r="AE9" s="484">
        <f>IF(ISNUMBER(Datos!R9),Datos!R9," - ")</f>
        <v>7256</v>
      </c>
      <c r="AF9" s="229" t="str">
        <f>IF(ISNUMBER(Datos!BV9),Datos!BV9," - ")</f>
        <v xml:space="preserve"> - </v>
      </c>
      <c r="AG9" s="225" t="str">
        <f>IF(ISNUMBER(Datos!DV9),Datos!DV9," - ")</f>
        <v xml:space="preserve"> - </v>
      </c>
      <c r="AH9" s="298"/>
      <c r="AI9" s="227"/>
      <c r="AJ9" s="225">
        <f>IF(ISNUMBER(Datos!M9),Datos!M9," - ")</f>
        <v>661</v>
      </c>
      <c r="AK9" s="229">
        <f>IF(ISNUMBER(Datos!N9),Datos!N9," - ")</f>
        <v>1813</v>
      </c>
      <c r="AL9" s="229" t="str">
        <f>IF(ISNUMBER(Datos!BW9),Datos!BW9," - ")</f>
        <v xml:space="preserve"> - </v>
      </c>
      <c r="AM9" s="228" t="str">
        <f>IF(ISNUMBER(Datos!BX9),Datos!BX9," - ")</f>
        <v xml:space="preserve"> - </v>
      </c>
      <c r="AN9" s="243"/>
      <c r="AO9" s="260">
        <f>IF(ISNUMBER(((NºAsuntos!I9/NºAsuntos!G9)*11)/factor_trimestre),((NºAsuntos!I9/NºAsuntos!G9)*11)/factor_trimestre," - ")</f>
        <v>4.1418530351437699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-1.6802168021680216E-2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0</v>
      </c>
      <c r="AA10" s="332">
        <f>IF(ISNUMBER(Datos!L10),Datos!L10,"-")</f>
        <v>15</v>
      </c>
      <c r="AB10" s="334"/>
      <c r="AC10" s="334"/>
      <c r="AD10" s="484"/>
      <c r="AE10" s="484">
        <f>IF(ISNUMBER(Datos!R10),Datos!R10," - ")</f>
        <v>32</v>
      </c>
      <c r="AF10" s="229" t="str">
        <f>IF(ISNUMBER(Datos!BV10),Datos!BV10," - ")</f>
        <v xml:space="preserve"> - </v>
      </c>
      <c r="AG10" s="225" t="str">
        <f>IF(ISNUMBER(Datos!DV10),Datos!DV10," - ")</f>
        <v xml:space="preserve"> - </v>
      </c>
      <c r="AH10" s="298"/>
      <c r="AI10" s="227"/>
      <c r="AJ10" s="225">
        <f>IF(ISNUMBER(Datos!M10),Datos!M10," - ")</f>
        <v>14</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0.96774193548387089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408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532</v>
      </c>
      <c r="AA13" s="900">
        <f t="shared" si="2"/>
        <v>15</v>
      </c>
      <c r="AB13" s="900">
        <f t="shared" si="2"/>
        <v>0</v>
      </c>
      <c r="AC13" s="900">
        <f t="shared" si="2"/>
        <v>0</v>
      </c>
      <c r="AD13" s="900">
        <f t="shared" si="2"/>
        <v>0</v>
      </c>
      <c r="AE13" s="900">
        <f t="shared" si="2"/>
        <v>7288</v>
      </c>
      <c r="AF13" s="908">
        <f t="shared" si="2"/>
        <v>0</v>
      </c>
      <c r="AG13" s="908">
        <f t="shared" si="2"/>
        <v>0</v>
      </c>
      <c r="AH13" s="908">
        <f t="shared" si="2"/>
        <v>0</v>
      </c>
      <c r="AI13" s="908">
        <f t="shared" si="2"/>
        <v>0</v>
      </c>
      <c r="AJ13" s="908">
        <f t="shared" si="2"/>
        <v>675</v>
      </c>
      <c r="AK13" s="908">
        <f t="shared" si="2"/>
        <v>1826</v>
      </c>
      <c r="AL13" s="908">
        <f t="shared" si="2"/>
        <v>0</v>
      </c>
      <c r="AM13" s="908">
        <f t="shared" si="2"/>
        <v>0</v>
      </c>
      <c r="AN13" s="908">
        <f t="shared" si="2"/>
        <v>0</v>
      </c>
      <c r="AO13" s="904">
        <f>IF(ISNUMBER(((NºAsuntos!I13/NºAsuntos!G13)*11)/factor_trimestre),((NºAsuntos!I13/NºAsuntos!G13)*11)/factor_trimestre," - ")</f>
        <v>4.1107244542866184</v>
      </c>
      <c r="AP13" s="910" t="str">
        <f>IF(ISNUMBER(Datos!CI13/Datos!CJ13),Datos!CI13/Datos!CJ13," - ")</f>
        <v xml:space="preserve"> - </v>
      </c>
      <c r="AQ13" s="928">
        <f t="shared" ref="AQ13:AV13" si="3">SUBTOTAL(9,AQ9:AQ12)</f>
        <v>0</v>
      </c>
      <c r="AR13" s="928">
        <f t="shared" si="3"/>
        <v>-1.6802168021680216E-2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2178</v>
      </c>
      <c r="G15" s="225">
        <f>IF(ISNUMBER(IF(D_I="SI",Datos!I15,Datos!I15+Datos!AC15)),IF(D_I="SI",Datos!I15,Datos!I15+Datos!AC15)," - ")</f>
        <v>2143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3801</v>
      </c>
      <c r="Z15" s="619">
        <f>IF(ISNUMBER(Datos!Q15),Datos!Q15," - ")</f>
        <v>58</v>
      </c>
      <c r="AA15" s="332">
        <f>IF(ISNUMBER(IF(D_I="SI",Datos!L15,Datos!L15+Datos!AF15)),IF(D_I="SI",Datos!L15,Datos!L15+Datos!AF15)," - ")</f>
        <v>2228</v>
      </c>
      <c r="AB15" s="334"/>
      <c r="AC15" s="334"/>
      <c r="AD15" s="484"/>
      <c r="AE15" s="484">
        <f>IF(ISNUMBER(Datos!R15),Datos!R15," - ")</f>
        <v>351</v>
      </c>
      <c r="AF15" s="229" t="str">
        <f>IF(ISNUMBER(Datos!BV15),Datos!BV15," - ")</f>
        <v xml:space="preserve"> - </v>
      </c>
      <c r="AG15" s="225"/>
      <c r="AH15" s="298"/>
      <c r="AI15" s="227"/>
      <c r="AJ15" s="225">
        <f>IF(ISNUMBER(Datos!M15),Datos!M15," - ")</f>
        <v>425</v>
      </c>
      <c r="AK15" s="229">
        <f>IF(ISNUMBER(Datos!N15),Datos!N15," - ")</f>
        <v>2732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1.1723230728755591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174</v>
      </c>
      <c r="Z17" s="619">
        <f>IF(ISNUMBER(Datos!Q17),Datos!Q17," - ")</f>
        <v>4</v>
      </c>
      <c r="AA17" s="332">
        <f>IF(ISNUMBER(Datos!L17),Datos!L17,"-")</f>
        <v>100</v>
      </c>
      <c r="AB17" s="334"/>
      <c r="AC17" s="334"/>
      <c r="AD17" s="484"/>
      <c r="AE17" s="484">
        <f>IF(ISNUMBER(Datos!R17),Datos!R17," - ")</f>
        <v>35</v>
      </c>
      <c r="AF17" s="229" t="str">
        <f>IF(ISNUMBER(Datos!BV17),Datos!BV17," - ")</f>
        <v xml:space="preserve"> - </v>
      </c>
      <c r="AG17" s="225" t="str">
        <f>IF(ISNUMBER(Datos!DV17),Datos!DV17," - ")</f>
        <v xml:space="preserve"> - </v>
      </c>
      <c r="AH17" s="298"/>
      <c r="AI17" s="227"/>
      <c r="AJ17" s="225">
        <f>IF(ISNUMBER(Datos!M17),Datos!M17," - ")</f>
        <v>58</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1.1494252873563218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2178</v>
      </c>
      <c r="G18" s="898">
        <f>SUBTOTAL(9,G15:G17)</f>
        <v>2234</v>
      </c>
      <c r="H18" s="932">
        <f>SUBTOTAL(9,H15:H17)</f>
        <v>0</v>
      </c>
      <c r="I18" s="911">
        <f>SUBTOTAL(9,I15:I17)</f>
        <v>0</v>
      </c>
      <c r="J18" s="867">
        <f>SUBTOTAL(9,J14:J17)</f>
        <v>0</v>
      </c>
      <c r="K18" s="932">
        <f t="shared" ref="K18:S18" si="4">SUBTOTAL(9,K15:K17)</f>
        <v>0</v>
      </c>
      <c r="L18" s="932">
        <f t="shared" si="4"/>
        <v>0</v>
      </c>
      <c r="M18" s="932">
        <f t="shared" si="4"/>
        <v>0</v>
      </c>
      <c r="N18" s="932">
        <f t="shared" si="4"/>
        <v>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3975</v>
      </c>
      <c r="Z18" s="932">
        <f t="shared" si="5"/>
        <v>62</v>
      </c>
      <c r="AA18" s="932">
        <f t="shared" si="5"/>
        <v>2328</v>
      </c>
      <c r="AB18" s="932">
        <f t="shared" si="5"/>
        <v>0</v>
      </c>
      <c r="AC18" s="932">
        <f t="shared" si="5"/>
        <v>0</v>
      </c>
      <c r="AD18" s="932">
        <f t="shared" si="5"/>
        <v>0</v>
      </c>
      <c r="AE18" s="932">
        <f t="shared" si="5"/>
        <v>387</v>
      </c>
      <c r="AF18" s="932">
        <f t="shared" si="5"/>
        <v>0</v>
      </c>
      <c r="AG18" s="932">
        <f t="shared" si="5"/>
        <v>0</v>
      </c>
      <c r="AH18" s="932">
        <f t="shared" si="5"/>
        <v>0</v>
      </c>
      <c r="AI18" s="932">
        <f t="shared" si="5"/>
        <v>0</v>
      </c>
      <c r="AJ18" s="932">
        <f t="shared" si="5"/>
        <v>483</v>
      </c>
      <c r="AK18" s="932">
        <f t="shared" si="5"/>
        <v>2806</v>
      </c>
      <c r="AL18" s="932">
        <f t="shared" si="5"/>
        <v>0</v>
      </c>
      <c r="AM18" s="932">
        <f t="shared" si="5"/>
        <v>0</v>
      </c>
      <c r="AN18" s="932">
        <f t="shared" si="5"/>
        <v>0</v>
      </c>
      <c r="AO18" s="934">
        <f>IF(ISNUMBER(((NºAsuntos!I18/NºAsuntos!G18)*11)/factor_trimestre),((NºAsuntos!I18/NºAsuntos!G18)*11)/factor_trimestre," - ")</f>
        <v>1.171320754716981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2193</v>
      </c>
      <c r="G19" s="820">
        <f t="shared" si="7"/>
        <v>2249</v>
      </c>
      <c r="H19" s="821">
        <f t="shared" si="7"/>
        <v>0</v>
      </c>
      <c r="I19" s="820">
        <f t="shared" si="7"/>
        <v>0</v>
      </c>
      <c r="J19" s="822">
        <f t="shared" si="7"/>
        <v>0</v>
      </c>
      <c r="K19" s="820">
        <f t="shared" si="7"/>
        <v>0</v>
      </c>
      <c r="L19" s="823">
        <f t="shared" si="7"/>
        <v>0</v>
      </c>
      <c r="M19" s="820">
        <f t="shared" si="7"/>
        <v>0</v>
      </c>
      <c r="N19" s="821">
        <f t="shared" si="7"/>
        <v>480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4006</v>
      </c>
      <c r="Z19" s="827">
        <f t="shared" si="8"/>
        <v>594</v>
      </c>
      <c r="AA19" s="828">
        <f t="shared" si="8"/>
        <v>2343</v>
      </c>
      <c r="AB19" s="828">
        <f t="shared" si="8"/>
        <v>0</v>
      </c>
      <c r="AC19" s="828">
        <f t="shared" si="8"/>
        <v>0</v>
      </c>
      <c r="AD19" s="829">
        <f t="shared" si="8"/>
        <v>0</v>
      </c>
      <c r="AE19" s="829">
        <f t="shared" si="8"/>
        <v>7675</v>
      </c>
      <c r="AF19" s="830">
        <f t="shared" si="8"/>
        <v>0</v>
      </c>
      <c r="AG19" s="831">
        <f t="shared" si="8"/>
        <v>0</v>
      </c>
      <c r="AH19" s="832">
        <f t="shared" si="8"/>
        <v>0</v>
      </c>
      <c r="AI19" s="830">
        <f t="shared" si="8"/>
        <v>0</v>
      </c>
      <c r="AJ19" s="820">
        <f t="shared" si="8"/>
        <v>1158</v>
      </c>
      <c r="AK19" s="820">
        <f t="shared" si="8"/>
        <v>4632</v>
      </c>
      <c r="AL19" s="820">
        <f t="shared" si="8"/>
        <v>0</v>
      </c>
      <c r="AM19" s="833">
        <f t="shared" si="8"/>
        <v>0</v>
      </c>
      <c r="AN19" s="823">
        <f>IF(ISNUMBER(Datos!K19/Datos!J19),Datos!K19/Datos!J19," - ")</f>
        <v>0.97547380156075814</v>
      </c>
      <c r="AO19" s="823">
        <f>IF(ISNUMBER(FIND("06",Criterios!A8,1)),(IF(ISNUMBER(((Datos!R19/Datos!Q19)*11)/factor_trimestre),((Datos!R19/Datos!Q19)*11)/factor_trimestre," - ")),(IF(ISNUMBER(((Datos!L19/Datos!K19)*11)/factor_trimestre),((Datos!L19/Datos!K19)*11)/factor_trimestre," - ")))</f>
        <v>2.4685714285714284</v>
      </c>
      <c r="AP19" s="834" t="str">
        <f>IF(ISNUMBER(Datos!CI19/Datos!CJ19),Datos!CI19/Datos!CJ19," - ")</f>
        <v xml:space="preserve"> - </v>
      </c>
      <c r="AQ19" s="834">
        <f>IF(OR(ISNUMBER(FIND("01",Criterios!A8,1)),ISNUMBER(FIND("02",Criterios!A8,1)),ISNUMBER(FIND("03",Criterios!A8,1)),ISNUMBER(FIND("04",Criterios!A8,1))),(J19-Y19+K19)/(F19-K19),(I19-Y19+K19)/(F19-K19))</f>
        <v>-1.8267213862289102</v>
      </c>
      <c r="AR19" s="834">
        <f>IF(ISNUMBER((Datos!P19-Datos!Q19+O19)/(Datos!R19-Datos!P19+Datos!Q19-O19)),(Datos!P19-Datos!Q19+O19)/(Datos!R19-Datos!P19+Datos!Q19-O19)," - ")</f>
        <v>-1.4636025163692386E-2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749.66666666666663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1187.4782945384727</v>
      </c>
      <c r="G21" s="552">
        <f>IF(ISNUMBER(STDEV(G8:G18)),STDEV(G8:G18),"-")</f>
        <v>1115.3416815786393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301.04120901266913</v>
      </c>
      <c r="AK21" s="252"/>
      <c r="AL21" s="252">
        <f>IF(ISNUMBER(STDEV(AL8:AL18)),STDEV(AL8:AL18),"-")</f>
        <v>0</v>
      </c>
      <c r="AM21" s="254">
        <f>IF(ISNUMBER(STDEV(AM8:AM18)),STDEV(AM8:AM18),"-")</f>
        <v>0</v>
      </c>
      <c r="AN21" s="539">
        <f>IF(ISNUMBER(STDEV(AN8:AN18)),STDEV(AN8:AN18),"-")</f>
        <v>0</v>
      </c>
      <c r="AO21" s="540">
        <f>IF(ISNUMBER(STDEV(AO8:AO18)),STDEV(AO8:AO18),"-")</f>
        <v>1.5568342270184869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2Pi4nwxhBPKxEmSviCfjPA1CTygp4MBkNiHHwJbfD8ylWw7f3p1ZSZ4MI5+wCOksML6IFNaAqJupw6B5QgE3zw==" saltValue="pNUhAMS0Bq2Clu7mEeR9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itjZ4qsv4+W4pBYDMlkNM6+1+api+vEotkfloPYdob8RHY/WPkXDC0/UiFU9MCb3ZpcbYne8RXWqQ8coB11zw==" saltValue="cBjc6+vIgUXmPFr5h8TR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ME71/UWcMtLx2LeSFBeOZsuki/x3/kj8CswYoSob6HLppld4Rw5osYJ1uXZJ+cL0cfAGPeHV/vNEDJLZcPAag==" saltValue="plRWURR2oUYeQWWLAIOv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0.21354001898133501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0.15099559547640606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17j1RVDaiW3aIAae7Sov450cl4NeJ05eTmk7RUJ20hplz8W6ZjpZ2FQt0BDY/H1gq8NpGAA15y5l0cSk73x34A==" saltValue="ZJ2rF+kREBWKeEOyXDq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S9/usaT3VtNKhCWDoE9DU5p9TvMxJtkTMPmaURjLMtLpAz7BjJR8Jx62DaWYgxDPmQ0BL9R+Zx3poSebh6/sKA==" saltValue="FEOwcCRzT0u0wpOViPKt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ARRECIFE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6385</v>
      </c>
      <c r="D9" s="404">
        <f>IF(ISNUMBER(C9/Datos!BH9),C9/Datos!BH9," - ")</f>
        <v>1277</v>
      </c>
      <c r="E9" s="403">
        <f>IF(ISNUMBER(IF(J_V="SI",Datos!J9,Datos!J9+Datos!Z9)),IF(J_V="SI",Datos!J9,Datos!J9+Datos!Z9)," - ")</f>
        <v>3218</v>
      </c>
      <c r="F9" s="404">
        <f>IF(ISNUMBER(E9/B9),E9/B9," - ")</f>
        <v>643.6</v>
      </c>
      <c r="G9" s="403">
        <f>IF(ISNUMBER(IF(J_V="SI",Datos!K9,Datos!K9+Datos!AA9)),IF(J_V="SI",Datos!K9,Datos!K9+Datos!AA9)," - ")</f>
        <v>3130</v>
      </c>
      <c r="H9" s="404">
        <f>IF(ISNUMBER(G9/B9),G9/B9," - ")</f>
        <v>626</v>
      </c>
      <c r="I9" s="403">
        <f>IF(ISNUMBER(IF(J_V="SI",Datos!L9,Datos!L9+Datos!AB9)),IF(J_V="SI",Datos!L9,Datos!L9+Datos!AB9)," - ")</f>
        <v>6482</v>
      </c>
      <c r="J9" s="404">
        <f>IF(ISNUMBER(I9/B9),I9/B9," - ")</f>
        <v>1296.4000000000001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31</v>
      </c>
      <c r="F10" s="404">
        <f>IF(ISNUMBER(E10/B10),E10/B10," - ")</f>
        <v>31</v>
      </c>
      <c r="G10" s="403">
        <f>IF(ISNUMBER(Datos!K10),Datos!K10," - ")</f>
        <v>31</v>
      </c>
      <c r="H10" s="404">
        <f>IF(ISNUMBER(G10/B10),G10/B10," - ")</f>
        <v>31</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6400</v>
      </c>
      <c r="D13" s="850" t="str">
        <f>IF(ISNUMBER(C13/Datos!BI13),C13/Datos!BI13," - ")</f>
        <v xml:space="preserve"> - </v>
      </c>
      <c r="E13" s="849">
        <f>SUBTOTAL(9,E8:E12)</f>
        <v>3249</v>
      </c>
      <c r="F13" s="850">
        <f>IF(ISNUMBER(E13/B13),E13/B13," - ")</f>
        <v>649.79999999999995</v>
      </c>
      <c r="G13" s="849">
        <f>SUBTOTAL(9,G8:G12)</f>
        <v>3161</v>
      </c>
      <c r="H13" s="850">
        <f>IF(ISNUMBER(G13/B13),G13/B13," - ")</f>
        <v>632.20000000000005</v>
      </c>
      <c r="I13" s="849">
        <f>SUBTOTAL(9,I8:I12)</f>
        <v>6497</v>
      </c>
      <c r="J13" s="850">
        <f>IF(ISNUMBER(I13/B13),I13/B13," - ")</f>
        <v>1299.4000000000001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2143</v>
      </c>
      <c r="D15" s="404">
        <f>IF(ISNUMBER(C15/Datos!BH15),C15/Datos!BH15," - ")</f>
        <v>535.75</v>
      </c>
      <c r="E15" s="403">
        <f>IF(ISNUMBER(IF(D_I="SI",Datos!J15,Datos!J15+Datos!AD15)),IF(D_I="SI",Datos!J15,Datos!J15+Datos!AD15)," - ")</f>
        <v>3851</v>
      </c>
      <c r="F15" s="404">
        <f>IF(ISNUMBER(E15/B15),E15/B15," - ")</f>
        <v>962.75</v>
      </c>
      <c r="G15" s="403">
        <f>IF(ISNUMBER(IF(D_I="SI",Datos!K15,Datos!K15+Datos!AE15)),IF(D_I="SI",Datos!K15,Datos!K15+Datos!AE15)," - ")</f>
        <v>3801</v>
      </c>
      <c r="H15" s="404">
        <f>IF(ISNUMBER(G15/B15),G15/B15," - ")</f>
        <v>950.25</v>
      </c>
      <c r="I15" s="403">
        <f>IF(ISNUMBER(IF(D_I="SI",Datos!L15,Datos!L15+Datos!AF15)),IF(D_I="SI",Datos!L15,Datos!L15+Datos!AF15)," - ")</f>
        <v>2228</v>
      </c>
      <c r="J15" s="404">
        <f>IF(ISNUMBER(I15/B15),I15/B15," - ")</f>
        <v>557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183</v>
      </c>
      <c r="F17" s="404">
        <f>IF(ISNUMBER(E17/B17),E17/B17," - ")</f>
        <v>183</v>
      </c>
      <c r="G17" s="403">
        <f>IF(ISNUMBER(IF(D_I="SI",Datos!K17,Datos!K17+Datos!AE17)),IF(D_I="SI",Datos!K17,Datos!K17+Datos!AE17)," - ")</f>
        <v>174</v>
      </c>
      <c r="H17" s="404">
        <f>IF(ISNUMBER(G17/B17),G17/B17," - ")</f>
        <v>174</v>
      </c>
      <c r="I17" s="403">
        <f>IF(ISNUMBER(IF(D_I="SI",Datos!L17,Datos!L17+Datos!AF17)),IF(D_I="SI",Datos!L17,Datos!L17+Datos!AF17)," - ")</f>
        <v>100</v>
      </c>
      <c r="J17" s="404">
        <f>IF(ISNUMBER(I17/B17),I17/B17," - ")</f>
        <v>100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2234</v>
      </c>
      <c r="D18" s="850" t="str">
        <f>IF(ISNUMBER(C18/Datos!BI18),C18/Datos!BI18," - ")</f>
        <v xml:space="preserve"> - </v>
      </c>
      <c r="E18" s="849">
        <f>SUBTOTAL(9,E14:E17)</f>
        <v>4034</v>
      </c>
      <c r="F18" s="850">
        <f>IF(ISNUMBER(E18/B18),E18/B18," - ")</f>
        <v>1008.5</v>
      </c>
      <c r="G18" s="849">
        <f>SUBTOTAL(9,G14:G17)</f>
        <v>3975</v>
      </c>
      <c r="H18" s="850">
        <f>IF(ISNUMBER(G18/B18),G18/B18," - ")</f>
        <v>993.75</v>
      </c>
      <c r="I18" s="849">
        <f>SUBTOTAL(9,I14:I17)</f>
        <v>2328</v>
      </c>
      <c r="J18" s="850">
        <f>IF(ISNUMBER(I18/B18),I18/B18," - ")</f>
        <v>582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8634</v>
      </c>
      <c r="D19" s="795" t="str">
        <f>IF(ISNUMBER(C19/Datos!BI19),C19/Datos!BI19," - ")</f>
        <v xml:space="preserve"> - </v>
      </c>
      <c r="E19" s="794">
        <f>SUBTOTAL(9,E9:E18)</f>
        <v>7283</v>
      </c>
      <c r="F19" s="795">
        <f>IF(ISNUMBER(E19/B19),E19/B19," - ")</f>
        <v>809.22222222222217</v>
      </c>
      <c r="G19" s="794">
        <f>SUBTOTAL(9,G9:G18)</f>
        <v>7136</v>
      </c>
      <c r="H19" s="795">
        <f>IF(ISNUMBER(G19/B19),G19/B19," - ")</f>
        <v>792.88888888888891</v>
      </c>
      <c r="I19" s="794">
        <f>SUBTOTAL(9,I9:I18)</f>
        <v>8825</v>
      </c>
      <c r="J19" s="795">
        <f>IF(ISNUMBER(I19/B19),I19/B19," - ")</f>
        <v>980.55555555555554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VQRA5D6tx5/ZZx4D8olC7UALF4XU1Qf3nNVRrxNMtz3cMBULVJLid/Nl6uT0VDLU8kBz9fqDssfxv6AI9uJIw==" saltValue="uWQ4SxaQUDx9rVIWuerp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ARRECIFE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0.96774193548387089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0</v>
      </c>
      <c r="AE13" s="939">
        <f t="shared" si="1"/>
        <v>0</v>
      </c>
      <c r="AF13" s="939">
        <f t="shared" si="1"/>
        <v>15</v>
      </c>
      <c r="AG13" s="939">
        <f t="shared" si="1"/>
        <v>0</v>
      </c>
      <c r="AH13" s="939">
        <f t="shared" si="1"/>
        <v>0</v>
      </c>
      <c r="AI13" s="939">
        <f t="shared" si="1"/>
        <v>0</v>
      </c>
      <c r="AJ13" s="939">
        <f t="shared" si="1"/>
        <v>0</v>
      </c>
      <c r="AK13" s="939">
        <f t="shared" si="1"/>
        <v>0</v>
      </c>
      <c r="AL13" s="939">
        <f t="shared" si="1"/>
        <v>14</v>
      </c>
      <c r="AM13" s="939">
        <f t="shared" si="1"/>
        <v>13</v>
      </c>
      <c r="AN13" s="939">
        <f t="shared" si="1"/>
        <v>0</v>
      </c>
      <c r="AO13" s="939">
        <f t="shared" si="1"/>
        <v>0</v>
      </c>
      <c r="AP13" s="944">
        <f>IF(ISNUMBER(((Datos!L13/Datos!K13)*11)/factor_trimestre),((Datos!L13/Datos!K13)*11)/factor_trimestre," - ")</f>
        <v>4.1732231404958675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-2.0666666666666669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1.171320754716981</v>
      </c>
      <c r="AQ18" s="944">
        <f>IF(ISNUMBER(((Datos!M18/Datos!L18)*11)/factor_trimestre),((Datos!M18/Datos!L18)*11)/factor_trimestre," - ")</f>
        <v>0.4149484536082475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2.6525198938992044E-2</v>
      </c>
      <c r="AW18" s="946">
        <f>IF(ISNUMBER((Datos!Q18-Datos!R18)/(Datos!S18-Datos!Q18+Datos!R18)),(Datos!Q18-Datos!R18)/(Datos!S18-Datos!Q18+Datos!R18)," - ")</f>
        <v>-0.15520534861509075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0</v>
      </c>
      <c r="AE19" s="957">
        <f t="shared" si="5"/>
        <v>0</v>
      </c>
      <c r="AF19" s="958">
        <f t="shared" si="5"/>
        <v>15</v>
      </c>
      <c r="AG19" s="958">
        <f t="shared" si="5"/>
        <v>0</v>
      </c>
      <c r="AH19" s="958">
        <f t="shared" si="5"/>
        <v>0</v>
      </c>
      <c r="AI19" s="958">
        <f t="shared" si="5"/>
        <v>0</v>
      </c>
      <c r="AJ19" s="959">
        <f t="shared" si="5"/>
        <v>0</v>
      </c>
      <c r="AK19" s="959">
        <f t="shared" si="5"/>
        <v>0</v>
      </c>
      <c r="AL19" s="951">
        <f t="shared" si="5"/>
        <v>14</v>
      </c>
      <c r="AM19" s="951">
        <f t="shared" si="5"/>
        <v>13</v>
      </c>
      <c r="AN19" s="951">
        <f t="shared" si="5"/>
        <v>0</v>
      </c>
      <c r="AO19" s="951">
        <f t="shared" si="5"/>
        <v>0</v>
      </c>
      <c r="AP19" s="951">
        <f>IF(ISNUMBER(((Datos!L19/Datos!K19)*11)/factor_trimestre),((Datos!L19/Datos!K19)*11)/factor_trimestre," - ")</f>
        <v>2.4685714285714284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-2.0666666666666669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-1.4636025163692386E-2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1.7948060259663381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00Et36jSdKatz2SqSbqRtm/3yKhA16JxczglkiORiwdWMs6CySiu2c9eui5Kc/PGeDLA5MSO5BtaGw6+0sxSWw==" saltValue="I1IqkiHPb8bF714pjDxi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ARRECIFE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NVHxXGnc40RWf/MOY1997sFerLSBkCM7a/O56t/iy1xulSI8IXHmN9DMJd11/rN3w4KTra2xW5m4Zr8B65r0A==" saltValue="GgpMUalVJoUUE0L9aFMB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ARRECIFE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661</v>
      </c>
      <c r="E9" s="404">
        <f t="shared" ref="E9:E13" si="0">IF(ISNUMBER(D9/B9),D9/B9," - ")</f>
        <v>132.19999999999999</v>
      </c>
      <c r="F9" s="403">
        <f>IF(ISNUMBER(Datos!N9),Datos!N9," - ")</f>
        <v>1813</v>
      </c>
      <c r="G9" s="404">
        <f t="shared" ref="G9:G13" si="1">IF(ISNUMBER(F9/B9),F9/B9," - ")</f>
        <v>362.6</v>
      </c>
      <c r="H9" s="403">
        <f>IF(ISNUMBER(Datos!O9),Datos!O9," - ")</f>
        <v>848</v>
      </c>
      <c r="I9" s="404">
        <f>IF(ISNUMBER(H9/B9),H9/B9," - ")</f>
        <v>169.6</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13</v>
      </c>
      <c r="G10" s="404">
        <f>IF(ISNUMBER(F10/B10),F10/B10," - ")</f>
        <v>13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675</v>
      </c>
      <c r="E13" s="850">
        <f t="shared" si="0"/>
        <v>135</v>
      </c>
      <c r="F13" s="849">
        <f>SUBTOTAL(9,F9:F12)</f>
        <v>1826</v>
      </c>
      <c r="G13" s="850">
        <f t="shared" si="1"/>
        <v>365.2</v>
      </c>
      <c r="H13" s="849">
        <f>SUBTOTAL(9,H9:H12)</f>
        <v>850</v>
      </c>
      <c r="I13" s="850">
        <f>IF(ISNUMBER(H13/B13),H13/B13," - ")</f>
        <v>170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425</v>
      </c>
      <c r="E15" s="404">
        <f t="shared" ref="E15:E18" si="3">IF(ISNUMBER(D15/B15),D15/B15," - ")</f>
        <v>106.25</v>
      </c>
      <c r="F15" s="403">
        <f>IF(ISNUMBER(Datos!N15),Datos!N15," - ")</f>
        <v>2732</v>
      </c>
      <c r="G15" s="404">
        <f t="shared" ref="G15:G18" si="4">IF(ISNUMBER(F15/B15),F15/B15," - ")</f>
        <v>683</v>
      </c>
      <c r="H15" s="403">
        <f>IF(ISNUMBER(Datos!O15),Datos!O15," - ")</f>
        <v>30</v>
      </c>
      <c r="I15" s="404">
        <f t="shared" ref="I15:I17" si="5">IF(ISNUMBER(H15/B15),H15/B15," - ")</f>
        <v>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58</v>
      </c>
      <c r="E17" s="404">
        <f>IF(ISNUMBER(D17/B17),D17/B17," - ")</f>
        <v>58</v>
      </c>
      <c r="F17" s="403">
        <f>IF(ISNUMBER(Datos!N17),Datos!N17," - ")</f>
        <v>74</v>
      </c>
      <c r="G17" s="404">
        <f>IF(ISNUMBER(F17/B17),F17/B17," - ")</f>
        <v>74</v>
      </c>
      <c r="H17" s="403">
        <f>IF(ISNUMBER(Datos!O17),Datos!O17," - ")</f>
        <v>3</v>
      </c>
      <c r="I17" s="404">
        <f t="shared" si="5"/>
        <v>3</v>
      </c>
      <c r="BZ17" s="1186">
        <f>Datos!EZ17</f>
        <v>0</v>
      </c>
    </row>
    <row r="18" spans="1:78" ht="14.25" thickTop="1" thickBot="1">
      <c r="A18" s="848" t="str">
        <f>Datos!A18</f>
        <v>TOTAL</v>
      </c>
      <c r="B18" s="849">
        <f>Datos!AP18</f>
        <v>4</v>
      </c>
      <c r="C18" s="851">
        <f>Datos!AR18</f>
        <v>4</v>
      </c>
      <c r="D18" s="849">
        <f>SUBTOTAL(9,D15:D17)</f>
        <v>483</v>
      </c>
      <c r="E18" s="850">
        <f t="shared" si="3"/>
        <v>120.75</v>
      </c>
      <c r="F18" s="849">
        <f>SUBTOTAL(9,F15:F17)</f>
        <v>2806</v>
      </c>
      <c r="G18" s="850">
        <f t="shared" si="4"/>
        <v>701.5</v>
      </c>
      <c r="H18" s="849">
        <f>SUBTOTAL(9,H15:H17)</f>
        <v>33</v>
      </c>
      <c r="I18" s="850">
        <f>IF(ISNUMBER(H18/B18),H18/B18," - ")</f>
        <v>8.25</v>
      </c>
      <c r="BZ18" s="1186"/>
    </row>
    <row r="19" spans="1:78" ht="14.25" thickTop="1" thickBot="1">
      <c r="A19" s="793" t="str">
        <f>Datos!A19</f>
        <v>TOTAL JURISDICCIONES</v>
      </c>
      <c r="B19" s="794">
        <f>Datos!AP19</f>
        <v>9</v>
      </c>
      <c r="C19" s="794">
        <f>Datos!AR19</f>
        <v>9</v>
      </c>
      <c r="D19" s="794">
        <f>SUBTOTAL(9,D8:D18)</f>
        <v>1158</v>
      </c>
      <c r="E19" s="795">
        <f>IF(ISNUMBER(D19/B19),D19/B19," - ")</f>
        <v>128.66666666666666</v>
      </c>
      <c r="F19" s="794">
        <f>SUBTOTAL(9,F8:F18)</f>
        <v>4632</v>
      </c>
      <c r="G19" s="795">
        <f>IF(ISNUMBER(F19/B19),F19/B19," - ")</f>
        <v>514.66666666666663</v>
      </c>
      <c r="H19" s="794">
        <f>SUBTOTAL(9,H8:H18)</f>
        <v>883</v>
      </c>
      <c r="I19" s="795">
        <f>IF(ISNUMBER(H19/B19),H19/B19," - ")</f>
        <v>98.111111111111114</v>
      </c>
    </row>
    <row r="22" spans="1:78">
      <c r="A22" s="391" t="str">
        <f>Criterios!A4</f>
        <v>Fecha Informe: 29 nov. 2024</v>
      </c>
    </row>
    <row r="27" spans="1:78">
      <c r="A27" s="414"/>
    </row>
  </sheetData>
  <sheetProtection algorithmName="SHA-512" hashValue="7rvTZLp/DyROj0KCukINia1L+ur54mxU3EyplOvlIhCtoN1FmpcbBH5WP9lxavIAf43a8HSN4YDZItPIAY8deQ==" saltValue="kSso0CKqoPVvgprr5wo6+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ARRECIFE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408</v>
      </c>
      <c r="C9" s="434">
        <f>IF(ISNUMBER(Datos!Q9),Datos!Q9," - ")</f>
        <v>532</v>
      </c>
      <c r="D9" s="408">
        <f>IF(ISNUMBER(Datos!R9),Datos!R9," - ")</f>
        <v>7256</v>
      </c>
    </row>
    <row r="10" spans="1:4">
      <c r="A10" s="402" t="str">
        <f>Datos!A10</f>
        <v>Jdos. Violencia contra la mujer</v>
      </c>
      <c r="B10" s="433">
        <f>IF(ISNUMBER(Datos!P10),Datos!P10," - ")</f>
        <v>0</v>
      </c>
      <c r="C10" s="434">
        <f>IF(ISNUMBER(Datos!Q10),Datos!Q10," - ")</f>
        <v>0</v>
      </c>
      <c r="D10" s="408">
        <f>IF(ISNUMBER(Datos!R10),Datos!R10," - ")</f>
        <v>32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408</v>
      </c>
      <c r="C13" s="853">
        <f>SUBTOTAL(9,C9:C12)</f>
        <v>532</v>
      </c>
      <c r="D13" s="851">
        <f>SUBTOTAL(9,D9:D12)</f>
        <v>7288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64</v>
      </c>
      <c r="C15" s="434">
        <f>IF(ISNUMBER(Datos!Q15),Datos!Q15," - ")</f>
        <v>58</v>
      </c>
      <c r="D15" s="408">
        <f>IF(ISNUMBER(Datos!R15),Datos!R15," - ")</f>
        <v>351</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8</v>
      </c>
      <c r="C17" s="434">
        <f>IF(ISNUMBER(Datos!Q17),Datos!Q17," - ")</f>
        <v>4</v>
      </c>
      <c r="D17" s="408">
        <f>IF(ISNUMBER(Datos!R17),Datos!R17," - ")</f>
        <v>35</v>
      </c>
    </row>
    <row r="18" spans="1:4" ht="14.25" thickTop="1" thickBot="1">
      <c r="A18" s="848" t="str">
        <f>Datos!A18</f>
        <v>TOTAL</v>
      </c>
      <c r="B18" s="849">
        <f>SUBTOTAL(9,B15:B17)</f>
        <v>72</v>
      </c>
      <c r="C18" s="853">
        <f>SUBTOTAL(9,C15:C17)</f>
        <v>62</v>
      </c>
      <c r="D18" s="851">
        <f>SUBTOTAL(9,D15:D17)</f>
        <v>387</v>
      </c>
    </row>
    <row r="19" spans="1:4" ht="16.5" customHeight="1" thickTop="1" thickBot="1">
      <c r="A19" s="793" t="str">
        <f>Datos!A19</f>
        <v>TOTAL JURISDICCIONES</v>
      </c>
      <c r="B19" s="798">
        <f>SUBTOTAL(9,B8:B18)</f>
        <v>480</v>
      </c>
      <c r="C19" s="799">
        <f>SUBTOTAL(9,C8:C18)</f>
        <v>594</v>
      </c>
      <c r="D19" s="800">
        <f>SUBTOTAL(9,D8:D18)</f>
        <v>7675</v>
      </c>
    </row>
    <row r="20" spans="1:4" ht="7.5" customHeight="1"/>
    <row r="21" spans="1:4" ht="6" customHeight="1"/>
    <row r="22" spans="1:4">
      <c r="A22" s="391" t="str">
        <f>Criterios!A4</f>
        <v>Fecha Informe: 29 nov. 2024</v>
      </c>
    </row>
    <row r="27" spans="1:4">
      <c r="A27" s="414"/>
    </row>
  </sheetData>
  <sheetProtection algorithmName="SHA-512" hashValue="mmg7dN98ut9UtI9WJA0twYHT2jBTBLIUzNsCTsJPCyK2dw7hZSh1RBdqrgtCilKv/t6pKjTg11Xe45KJxHr1IA==" saltValue="2pYDHP4t2BmN/6AoGp+B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ARRECIFE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2.1109867263713417E-2</v>
      </c>
      <c r="C9" s="456">
        <f>IF(ISNUMBER(
   IF(J_V="SI",(Datos!J9-Datos!T9)/Datos!T9,(Datos!J9+Datos!Z9-(Datos!T9+Datos!AH9))/(Datos!T9+Datos!AH9))
     ),IF(J_V="SI",(Datos!J9-Datos!T9)/Datos!T9,(Datos!J9+Datos!Z9-(Datos!T9+Datos!AH9))/(Datos!T9+Datos!AH9))," - ")</f>
        <v>0.28360590347028319</v>
      </c>
      <c r="D9" s="456">
        <f>IF(ISNUMBER(
   IF(J_V="SI",(Datos!K9-Datos!U9)/Datos!U9,(Datos!K9+Datos!AA9-(Datos!U9+Datos!AI9))/(Datos!U9+Datos!AI9))
     ),IF(J_V="SI",(Datos!K9-Datos!U9)/Datos!U9,(Datos!K9+Datos!AA9-(Datos!U9+Datos!AI9))/(Datos!U9+Datos!AI9))," - ")</f>
        <v>0.23960396039603959</v>
      </c>
      <c r="E9" s="456">
        <f>IF(ISNUMBER(
   IF(J_V="SI",(Datos!L9-Datos!V9)/Datos!V9,(Datos!L9+Datos!AB9-(Datos!V9+Datos!AJ9))/(Datos!V9+Datos!AJ9))
     ),IF(J_V="SI",(Datos!L9-Datos!V9)/Datos!V9,(Datos!L9+Datos!AB9-(Datos!V9+Datos!AJ9))/(Datos!V9+Datos!AJ9))," - ")</f>
        <v>3.811659192825112E-2</v>
      </c>
      <c r="F9" s="456">
        <f>IF(ISNUMBER((Datos!M9-Datos!W9)/Datos!W9),(Datos!M9-Datos!W9)/Datos!W9," - ")</f>
        <v>0.72584856396866837</v>
      </c>
      <c r="G9" s="457">
        <f>IF(ISNUMBER((Datos!N9-Datos!X9)/Datos!X9),(Datos!N9-Datos!X9)/Datos!X9," - ")</f>
        <v>0.13810420590081607</v>
      </c>
      <c r="H9" s="455">
        <f>IF(ISNUMBER(((NºAsuntos!G9/NºAsuntos!E9)-Datos!BD9)/Datos!BD9),((NºAsuntos!G9/NºAsuntos!E9)-Datos!BD9)/Datos!BD9," - ")</f>
        <v>-3.4279947572134373E-2</v>
      </c>
      <c r="I9" s="456">
        <f>IF(ISNUMBER(((NºAsuntos!I9/NºAsuntos!G9)-Datos!BE9)/Datos!BE9),((NºAsuntos!I9/NºAsuntos!G9)-Datos!BE9)/Datos!BE9," - ")</f>
        <v>-0.16254172695883895</v>
      </c>
      <c r="J9" s="461">
        <f>IF(ISNUMBER((('Resol  Asuntos'!D9/NºAsuntos!G9)-Datos!BF9)/Datos!BF9),(('Resol  Asuntos'!D9/NºAsuntos!G9)-Datos!BF9)/Datos!BF9," - ")</f>
        <v>-0.66526376379086616</v>
      </c>
      <c r="K9" s="462">
        <f>IF(ISNUMBER((((NºAsuntos!C9+NºAsuntos!E9)/NºAsuntos!G9)-Datos!BG9)/Datos!BG9),(((NºAsuntos!C9+NºAsuntos!E9)/NºAsuntos!G9)-Datos!BG9)/Datos!BG9," - ")</f>
        <v>-0.11565878156593289</v>
      </c>
    </row>
    <row r="10" spans="1:11">
      <c r="A10" s="402" t="str">
        <f>Datos!A10</f>
        <v>Jdos. Violencia contra la mujer</v>
      </c>
      <c r="B10" s="455">
        <f>IF(ISNUMBER((Datos!I10-Datos!S10)/Datos!S10),(Datos!I10-Datos!S10)/Datos!S10," - ")</f>
        <v>7.1428571428571425E-2</v>
      </c>
      <c r="C10" s="456">
        <f>IF(ISNUMBER((Datos!J10-Datos!T10)/Datos!T10),(Datos!J10-Datos!T10)/Datos!T10," - ")</f>
        <v>0.47619047619047616</v>
      </c>
      <c r="D10" s="456">
        <f>IF(ISNUMBER((Datos!K10-Datos!U10)/Datos!U10),(Datos!K10-Datos!U10)/Datos!U10," - ")</f>
        <v>0.82352941176470584</v>
      </c>
      <c r="E10" s="456">
        <f>IF(ISNUMBER((Datos!L10-Datos!V10)/Datos!V10),(Datos!L10-Datos!V10)/Datos!V10," - ")</f>
        <v>-0.16666666666666666</v>
      </c>
      <c r="F10" s="456">
        <f>IF(ISNUMBER((Datos!M10-Datos!W10)/Datos!W10),(Datos!M10-Datos!W10)/Datos!W10," - ")</f>
        <v>6</v>
      </c>
      <c r="G10" s="457">
        <f>IF(ISNUMBER((Datos!N10-Datos!X10)/Datos!X10),(Datos!N10-Datos!X10)/Datos!X10," - ")</f>
        <v>-0.1875</v>
      </c>
      <c r="H10" s="455">
        <f>IF(ISNUMBER(((NºAsuntos!G10/NºAsuntos!E10)-Datos!BD10)/Datos!BD10),((NºAsuntos!G10/NºAsuntos!E10)-Datos!BD10)/Datos!BD10," - ")</f>
        <v>0.23529411764705882</v>
      </c>
      <c r="I10" s="456">
        <f>IF(ISNUMBER(((NºAsuntos!I10/NºAsuntos!G10)-Datos!BE10)/Datos!BE10),((NºAsuntos!I10/NºAsuntos!G10)-Datos!BE10)/Datos!BE10," - ")</f>
        <v>-0.543010752688172</v>
      </c>
      <c r="J10" s="461">
        <f>IF(ISNUMBER((('Resol  Asuntos'!D10/NºAsuntos!G10)-Datos!BF10)/Datos!BF10),(('Resol  Asuntos'!D10/NºAsuntos!G10)-Datos!BF10)/Datos!BF10," - ")</f>
        <v>2.838709677419355</v>
      </c>
      <c r="K10" s="462">
        <f>IF(ISNUMBER((((NºAsuntos!C10+NºAsuntos!E10)/NºAsuntos!G10)-Datos!BG10)/Datos!BG10),(((NºAsuntos!C10+NºAsuntos!E10)/NºAsuntos!G10)-Datos!BG10)/Datos!BG10," - ")</f>
        <v>-0.27926267281105982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2.12222754108824E-2</v>
      </c>
      <c r="C13" s="855">
        <f>IF(ISNUMBER(
   IF(J_V="SI",(Datos!J13-Datos!T13)/Datos!T13,(Datos!J13+Datos!Z13-(Datos!T13+Datos!AH13))/(Datos!T13+Datos!AH13))
     ),IF(J_V="SI",(Datos!J13-Datos!T13)/Datos!T13,(Datos!J13+Datos!Z13-(Datos!T13+Datos!AH13))/(Datos!T13+Datos!AH13))," - ")</f>
        <v>0.28520569620253167</v>
      </c>
      <c r="D13" s="855">
        <f>IF(ISNUMBER(
   IF(J_V="SI",(Datos!K13-Datos!U13)/Datos!U13,(Datos!K13+Datos!AA13-(Datos!U13+Datos!AI13))/(Datos!U13+Datos!AI13))
     ),IF(J_V="SI",(Datos!K13-Datos!U13)/Datos!U13,(Datos!K13+Datos!AA13-(Datos!U13+Datos!AI13))/(Datos!U13+Datos!AI13))," - ")</f>
        <v>0.24350904799370574</v>
      </c>
      <c r="E13" s="855">
        <f>IF(ISNUMBER(
   IF(J_V="SI",(Datos!L13-Datos!V13)/Datos!V13,(Datos!L13+Datos!AB13-(Datos!V13+Datos!AJ13))/(Datos!V13+Datos!AJ13))
     ),IF(J_V="SI",(Datos!L13-Datos!V13)/Datos!V13,(Datos!L13+Datos!AB13-(Datos!V13+Datos!AJ13))/(Datos!V13+Datos!AJ13))," - ")</f>
        <v>3.7527946343021396E-2</v>
      </c>
      <c r="F13" s="856">
        <f>IF(ISNUMBER((Datos!M13-Datos!W13)/Datos!W13),(Datos!M13-Datos!W13)/Datos!W13," - ")</f>
        <v>0.75324675324675328</v>
      </c>
      <c r="G13" s="857">
        <f>IF(ISNUMBER((Datos!N13-Datos!X13)/Datos!X13),(Datos!N13-Datos!X13)/Datos!X13," - ")</f>
        <v>0.1348663766314481</v>
      </c>
      <c r="H13" s="857">
        <f>IF(ISNUMBER(((NºAsuntos!G13/NºAsuntos!E13)-Datos!BD13)/Datos!BD13),((NºAsuntos!G13/NºAsuntos!E13)-Datos!BD13)/Datos!BD13," - ")</f>
        <v>-3.244356007137935E-2</v>
      </c>
      <c r="I13" s="857">
        <f>IF(ISNUMBER(((NºAsuntos!I13/NºAsuntos!G13)-Datos!BE13)/Datos!BE13),((NºAsuntos!I13/NºAsuntos!G13)-Datos!BE13)/Datos!BE13," - ")</f>
        <v>-0.1656450365061814</v>
      </c>
      <c r="J13" s="857">
        <f>IF(ISNUMBER((('Resol  Asuntos'!D13/NºAsuntos!G13)-Datos!BF13)/Datos!BF13),(('Resol  Asuntos'!D13/NºAsuntos!G13)-Datos!BF13)/Datos!BF13," - ")</f>
        <v>-0.65967477852629863</v>
      </c>
      <c r="K13" s="857">
        <f>IF(ISNUMBER((((NºAsuntos!C13+NºAsuntos!E13)/NºAsuntos!G13)-Datos!BG13)/Datos!BG13),(((NºAsuntos!C13+NºAsuntos!E13)/NºAsuntos!G13)-Datos!BG13)/Datos!BG13," - ")</f>
        <v>-0.11773812412109708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0.27635497319833235</v>
      </c>
      <c r="C15" s="456">
        <f>IF(ISNUMBER(
   IF(D_I="SI",(Datos!J15-Datos!T15)/Datos!T15,(Datos!J15+Datos!AD15-(Datos!T15+Datos!AL15))/(Datos!T15+Datos!AL15))
     ),IF(D_I="SI",(Datos!J15-Datos!T15)/Datos!T15,(Datos!J15+Datos!AD15-(Datos!T15+Datos!AL15))/(Datos!T15+Datos!AL15))," - ")</f>
        <v>8.1437798371244027E-2</v>
      </c>
      <c r="D15" s="456">
        <f>IF(ISNUMBER(
   IF(D_I="SI",(Datos!K15-Datos!U15)/Datos!U15,(Datos!K15+Datos!AE15-(Datos!U15+Datos!AM15))/(Datos!U15+Datos!AM15))
     ),IF(D_I="SI",(Datos!K15-Datos!U15)/Datos!U15,(Datos!K15+Datos!AE15-(Datos!U15+Datos!AM15))/(Datos!U15+Datos!AM15))," - ")</f>
        <v>8.7553648068669526E-2</v>
      </c>
      <c r="E15" s="456">
        <f>IF(ISNUMBER(
   IF(D_I="SI",(Datos!L15-Datos!V15)/Datos!V15,(Datos!L15+Datos!AF15-(Datos!V15+Datos!AN15))/(Datos!V15+Datos!AN15))
     ),IF(D_I="SI",(Datos!L15-Datos!V15)/Datos!V15,(Datos!L15+Datos!AF15-(Datos!V15+Datos!AN15))/(Datos!V15+Datos!AN15))," - ")</f>
        <v>0.26447219069239503</v>
      </c>
      <c r="F15" s="456">
        <f>IF(ISNUMBER((Datos!M15-Datos!W15)/Datos!W15),(Datos!M15-Datos!W15)/Datos!W15," - ")</f>
        <v>0.22126436781609196</v>
      </c>
      <c r="G15" s="457">
        <f>IF(ISNUMBER((Datos!N15-Datos!X15)/Datos!X15),(Datos!N15-Datos!X15)/Datos!X15," - ")</f>
        <v>8.0268880980624749E-2</v>
      </c>
      <c r="H15" s="455">
        <f>IF(ISNUMBER(((NºAsuntos!G15/NºAsuntos!E15)-Datos!BD15)/Datos!BD15),((NºAsuntos!G15/NºAsuntos!E15)-Datos!BD15)/Datos!BD15," - ")</f>
        <v>5.6552949292474975E-3</v>
      </c>
      <c r="I15" s="456">
        <f>IF(ISNUMBER(((NºAsuntos!I15/NºAsuntos!G15)-Datos!BE15)/Datos!BE15),((NºAsuntos!I15/NºAsuntos!G15)-Datos!BE15)/Datos!BE15," - ")</f>
        <v>0.16267569230989762</v>
      </c>
      <c r="J15" s="461">
        <f>IF(ISNUMBER((('Resol  Asuntos'!D15/NºAsuntos!G15)-Datos!BF15)/Datos!BF15),(('Resol  Asuntos'!D15/NºAsuntos!G15)-Datos!BF15)/Datos!BF15," - ")</f>
        <v>0.12294632084115786</v>
      </c>
      <c r="K15" s="462">
        <f>IF(ISNUMBER((((NºAsuntos!C15+NºAsuntos!E15)/NºAsuntos!G15)-Datos!BG15)/Datos!BG15),(((NºAsuntos!C15+NºAsuntos!E15)/NºAsuntos!G15)-Datos!BG15)/Datos!BG15," - ")</f>
        <v>5.1803864390849365E-2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2.247191011235955E-2</v>
      </c>
      <c r="C17" s="456">
        <f>IF(ISNUMBER(
   IF(D_I="SI",(Datos!J17-Datos!T17)/Datos!T17,(Datos!J17+Datos!AD17-(Datos!T17+Datos!AL17))/(Datos!T17+Datos!AL17))
     ),IF(D_I="SI",(Datos!J17-Datos!T17)/Datos!T17,(Datos!J17+Datos!AD17-(Datos!T17+Datos!AL17))/(Datos!T17+Datos!AL17))," - ")</f>
        <v>0.14374999999999999</v>
      </c>
      <c r="D17" s="456">
        <f>IF(ISNUMBER(
   IF(D_I="SI",(Datos!K17-Datos!U17)/Datos!U17,(Datos!K17+Datos!AE17-(Datos!U17+Datos!AM17))/(Datos!U17+Datos!AM17))
     ),IF(D_I="SI",(Datos!K17-Datos!U17)/Datos!U17,(Datos!K17+Datos!AE17-(Datos!U17+Datos!AM17))/(Datos!U17+Datos!AM17))," - ")</f>
        <v>3.5714285714285712E-2</v>
      </c>
      <c r="E17" s="456">
        <f>IF(ISNUMBER(
   IF(D_I="SI",(Datos!L17-Datos!V17)/Datos!V17,(Datos!L17+Datos!AF17-(Datos!V17+Datos!AN17))/(Datos!V17+Datos!AN17))
     ),IF(D_I="SI",(Datos!L17-Datos!V17)/Datos!V17,(Datos!L17+Datos!AF17-(Datos!V17+Datos!AN17))/(Datos!V17+Datos!AN17))," - ")</f>
        <v>0.23456790123456789</v>
      </c>
      <c r="F17" s="456">
        <f>IF(ISNUMBER((Datos!M17-Datos!W17)/Datos!W17),(Datos!M17-Datos!W17)/Datos!W17," - ")</f>
        <v>0.23404255319148937</v>
      </c>
      <c r="G17" s="457">
        <f>IF(ISNUMBER((Datos!N17-Datos!X17)/Datos!X17),(Datos!N17-Datos!X17)/Datos!X17," - ")</f>
        <v>-0.22105263157894736</v>
      </c>
      <c r="H17" s="455">
        <f>IF(ISNUMBER(((NºAsuntos!G17/NºAsuntos!E17)-Datos!BD17)/Datos!BD17),((NºAsuntos!G17/NºAsuntos!E17)-Datos!BD17)/Datos!BD17," - ")</f>
        <v>-9.4457455113192909E-2</v>
      </c>
      <c r="I17" s="456">
        <f>IF(ISNUMBER(((NºAsuntos!I17/NºAsuntos!G17)-Datos!BE17)/Datos!BE17),((NºAsuntos!I17/NºAsuntos!G17)-Datos!BE17)/Datos!BE17," - ")</f>
        <v>0.19199659429544477</v>
      </c>
      <c r="J17" s="461">
        <f>IF(ISNUMBER((('Resol  Asuntos'!D17/NºAsuntos!G17)-Datos!BF17)/Datos!BF17),(('Resol  Asuntos'!D17/NºAsuntos!G17)-Datos!BF17)/Datos!BF17," - ")</f>
        <v>0.19148936170212758</v>
      </c>
      <c r="K17" s="462">
        <f>IF(ISNUMBER((((NºAsuntos!C17+NºAsuntos!E17)/NºAsuntos!G17)-Datos!BG17)/Datos!BG17),(((NºAsuntos!C17+NºAsuntos!E17)/NºAsuntos!G17)-Datos!BG17)/Datos!BG17," - ")</f>
        <v>6.2456723445506096E-2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0.26286037309214244</v>
      </c>
      <c r="C18" s="855">
        <f>IF(ISNUMBER(
   IF(Criterios!B14="SI",(Datos!J18-Datos!T18)/Datos!T18,(Datos!J18+Datos!AD18-(Datos!T18+Datos!AL18))/(Datos!T18+Datos!AL18))
     ),IF(Criterios!B14="SI",(Datos!J18-Datos!T18)/Datos!T18,(Datos!J18+Datos!AD18-(Datos!T18+Datos!AL18))/(Datos!T18+Datos!AL18))," - ")</f>
        <v>8.411717280300994E-2</v>
      </c>
      <c r="D18" s="855">
        <f>IF(ISNUMBER(
   IF(Criterios!B14="SI",(Datos!K18-Datos!U18)/Datos!U18,(Datos!K18+Datos!AE18-(Datos!U18+Datos!AM18))/(Datos!U18+Datos!AM18))
     ),IF(Criterios!B14="SI",(Datos!K18-Datos!U18)/Datos!U18,(Datos!K18+Datos!AE18-(Datos!U18+Datos!AM18))/(Datos!U18+Datos!AM18))," - ")</f>
        <v>8.5176085176085173E-2</v>
      </c>
      <c r="E18" s="855">
        <f>IF(ISNUMBER(
   IF(Criterios!B14="SI",(Datos!L18-Datos!V18)/Datos!V18,(Datos!L18+Datos!AF18-(Datos!V18+Datos!AN18))/(Datos!V18+Datos!AN18))
     ),IF(Criterios!B14="SI",(Datos!L18-Datos!V18)/Datos!V18,(Datos!L18+Datos!AF18-(Datos!V18+Datos!AN18))/(Datos!V18+Datos!AN18))," - ")</f>
        <v>0.26247288503253796</v>
      </c>
      <c r="F18" s="856">
        <f>IF(ISNUMBER((Datos!M18-Datos!W18)/Datos!W18),(Datos!M18-Datos!W18)/Datos!W18," - ")</f>
        <v>0.22278481012658227</v>
      </c>
      <c r="G18" s="857">
        <f>IF(ISNUMBER((Datos!N18-Datos!X18)/Datos!X18),(Datos!N18-Datos!X18)/Datos!X18," - ")</f>
        <v>6.9359756097560982E-2</v>
      </c>
      <c r="H18" s="857">
        <f>IF(ISNUMBER(((NºAsuntos!G18/NºAsuntos!E18)-Datos!BD18)/Datos!BD18),((NºAsuntos!G18/NºAsuntos!E18)-Datos!BD18)/Datos!BD18," - ")</f>
        <v>9.7675085280436507E-4</v>
      </c>
      <c r="I18" s="857">
        <f>IF(ISNUMBER(((NºAsuntos!I18/NºAsuntos!G18)-Datos!BE18)/Datos!BE18),((NºAsuntos!I18/NºAsuntos!G18)-Datos!BE18)/Datos!BE18," - ")</f>
        <v>0.16338067367904052</v>
      </c>
      <c r="J18" s="857">
        <f>IF(ISNUMBER((('Resol  Asuntos'!D18/NºAsuntos!G18)-Datos!BF18)/Datos!BF18),(('Resol  Asuntos'!D18/NºAsuntos!G18)-Datos!BF18)/Datos!BF18," - ")</f>
        <v>0.1268077382374016</v>
      </c>
      <c r="K18" s="857">
        <f>IF(ISNUMBER((((NºAsuntos!C18+NºAsuntos!E18)/NºAsuntos!G18)-Datos!BG18)/Datos!BG18),(((NºAsuntos!C18+NºAsuntos!E18)/NºAsuntos!G18)-Datos!BG18)/Datos!BG18," - ")</f>
        <v>5.2098566862563075E-2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7.44151319064211E-2</v>
      </c>
      <c r="C19" s="802">
        <f>IF(ISNUMBER(
   IF(J_V="SI",(Datos!J19-Datos!T19)/Datos!T19,(Datos!J19+Datos!Z19-(Datos!T19+Datos!AH19))/(Datos!T19+Datos!AH19))
     ),IF(J_V="SI",(Datos!J19-Datos!T19)/Datos!T19,(Datos!J19+Datos!Z19-(Datos!T19+Datos!AH19))/(Datos!T19+Datos!AH19))," - ")</f>
        <v>0.16546647463594175</v>
      </c>
      <c r="D19" s="802">
        <f>IF(ISNUMBER(
   IF(J_V="SI",(Datos!K19-Datos!U19)/Datos!U19,(Datos!K19+Datos!AA19-(Datos!U19+Datos!AI19))/(Datos!U19+Datos!AI19))
     ),IF(J_V="SI",(Datos!K19-Datos!U19)/Datos!U19,(Datos!K19+Datos!AA19-(Datos!U19+Datos!AI19))/(Datos!U19+Datos!AI19))," - ")</f>
        <v>0.1500402900886382</v>
      </c>
      <c r="E19" s="802">
        <f>IF(ISNUMBER(
   IF(J_V="SI",(Datos!L19-Datos!V19)/Datos!V19,(Datos!L19+Datos!AB19-(Datos!V19+Datos!AJ19))/(Datos!V19+Datos!AJ19))
     ),IF(J_V="SI",(Datos!L19-Datos!V19)/Datos!V19,(Datos!L19+Datos!AB19-(Datos!V19+Datos!AJ19))/(Datos!V19+Datos!AJ19))," - ")</f>
        <v>8.869972859610166E-2</v>
      </c>
      <c r="F19" s="803">
        <f>IF(ISNUMBER((Datos!M19-Datos!W19)/Datos!W19),(Datos!M19-Datos!W19)/Datos!W19," - ")</f>
        <v>0.48461538461538461</v>
      </c>
      <c r="G19" s="804">
        <f>IF(ISNUMBER((Datos!N19-Datos!X19)/Datos!X19),(Datos!N19-Datos!X19)/Datos!X19," - ")</f>
        <v>9.4259390503189225E-2</v>
      </c>
      <c r="H19" s="805">
        <f>IF(ISNUMBER((Tasas!B19-Datos!BD19)/Datos!BD19),(Tasas!B19-Datos!BD19)/Datos!BD19," - ")</f>
        <v>-1.3236060309776185E-2</v>
      </c>
      <c r="I19" s="806">
        <f>IF(ISNUMBER((Tasas!C19-Datos!BE19)/Datos!BE19),(Tasas!C19-Datos!BE19)/Datos!BE19," - ")</f>
        <v>-5.3337750008574637E-2</v>
      </c>
      <c r="J19" s="807">
        <f>IF(ISNUMBER((Tasas!D19-Datos!BF19)/Datos!BF19),(Tasas!D19-Datos!BF19)/Datos!BF19," - ")</f>
        <v>-0.49400942492732719</v>
      </c>
      <c r="K19" s="807">
        <f>IF(ISNUMBER((Tasas!E19-Datos!BG19)/Datos!BG19),(Tasas!E19-Datos!BG19)/Datos!BG19," - ")</f>
        <v>-3.112462938169322E-2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jRjT6VZ8mJLd8tFxzEtfBmQg2NLO2nuLqkNelvzm7AauIv1QViuM8fAxrKoj2vFwelfoqPId2d55iBzPIkxgQ==" saltValue="OqTiaPU0SBEVII2sdX04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ARRECIFE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0.97265382224984465</v>
      </c>
      <c r="C9" s="443">
        <f>IF(ISNUMBER(NºAsuntos!I9/NºAsuntos!G9),NºAsuntos!I9/NºAsuntos!G9," - ")</f>
        <v>2.070926517571885</v>
      </c>
      <c r="D9" s="444">
        <f>IF(ISNUMBER('Resol  Asuntos'!D9/NºAsuntos!G9),'Resol  Asuntos'!D9/NºAsuntos!G9," - ")</f>
        <v>0.21118210862619807</v>
      </c>
      <c r="E9" s="445">
        <f>IF(ISNUMBER((NºAsuntos!C9+NºAsuntos!E9)/NºAsuntos!G9),(NºAsuntos!C9+NºAsuntos!E9)/NºAsuntos!G9," - ")</f>
        <v>3.0680511182108625</v>
      </c>
      <c r="G9" s="463"/>
    </row>
    <row r="10" spans="1:7">
      <c r="A10" s="402" t="str">
        <f>Datos!A10</f>
        <v>Jdos. Violencia contra la mujer</v>
      </c>
      <c r="B10" s="442">
        <f>IF(ISNUMBER(NºAsuntos!G10/NºAsuntos!E10),NºAsuntos!G10/NºAsuntos!E10," - ")</f>
        <v>1</v>
      </c>
      <c r="C10" s="443">
        <f>IF(ISNUMBER(NºAsuntos!I10/NºAsuntos!G10),NºAsuntos!I10/NºAsuntos!G10," - ")</f>
        <v>0.4838709677419355</v>
      </c>
      <c r="D10" s="444">
        <f>IF(ISNUMBER('Resol  Asuntos'!D10/NºAsuntos!G10),'Resol  Asuntos'!D10/NºAsuntos!G10," - ")</f>
        <v>0.45161290322580644</v>
      </c>
      <c r="E10" s="445">
        <f>IF(ISNUMBER((NºAsuntos!C10+NºAsuntos!E10)/NºAsuntos!G10),(NºAsuntos!C10+NºAsuntos!E10)/NºAsuntos!G10," - ")</f>
        <v>1.4838709677419355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0.97291474299784553</v>
      </c>
      <c r="C13" s="859">
        <f>IF(ISNUMBER(NºAsuntos!I13/NºAsuntos!G13),NºAsuntos!I13/NºAsuntos!G13," - ")</f>
        <v>2.0553622271433092</v>
      </c>
      <c r="D13" s="860">
        <f>IF(ISNUMBER('Resol  Asuntos'!D13/NºAsuntos!G13),'Resol  Asuntos'!D13/NºAsuntos!G13," - ")</f>
        <v>0.21354001898133501</v>
      </c>
      <c r="E13" s="861">
        <f>IF(ISNUMBER((NºAsuntos!C13+NºAsuntos!E13)/NºAsuntos!G13),(NºAsuntos!C13+NºAsuntos!E13)/NºAsuntos!G13," - ")</f>
        <v>3.0525150268902248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0.98701635938717214</v>
      </c>
      <c r="C15" s="443">
        <f>IF(ISNUMBER(NºAsuntos!I15/NºAsuntos!G15),NºAsuntos!I15/NºAsuntos!G15," - ")</f>
        <v>0.58616153643777957</v>
      </c>
      <c r="D15" s="444">
        <f>IF(ISNUMBER('Resol  Asuntos'!D15/NºAsuntos!G15),'Resol  Asuntos'!D15/NºAsuntos!G15," - ")</f>
        <v>0.11181268087345435</v>
      </c>
      <c r="E15" s="445">
        <f>IF(ISNUMBER((NºAsuntos!C15+NºAsuntos!E15)/NºAsuntos!G15),(NºAsuntos!C15+NºAsuntos!E15)/NºAsuntos!G15," - ")</f>
        <v>1.5769534333070245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0.95081967213114749</v>
      </c>
      <c r="C17" s="443">
        <f>IF(ISNUMBER(NºAsuntos!I17/NºAsuntos!G17),NºAsuntos!I17/NºAsuntos!G17," - ")</f>
        <v>0.57471264367816088</v>
      </c>
      <c r="D17" s="444">
        <f>IF(ISNUMBER('Resol  Asuntos'!D17/NºAsuntos!G17),'Resol  Asuntos'!D17/NºAsuntos!G17," - ")</f>
        <v>0.33333333333333331</v>
      </c>
      <c r="E17" s="445">
        <f>IF(ISNUMBER((NºAsuntos!C17+NºAsuntos!E17)/NºAsuntos!G17),(NºAsuntos!C17+NºAsuntos!E17)/NºAsuntos!G17," - ")</f>
        <v>1.5747126436781609</v>
      </c>
      <c r="G17" s="463"/>
    </row>
    <row r="18" spans="1:7" ht="14.25" thickTop="1" thickBot="1">
      <c r="A18" s="848" t="str">
        <f>Datos!A18</f>
        <v>TOTAL</v>
      </c>
      <c r="B18" s="858">
        <f>IF(ISNUMBER(NºAsuntos!G18/NºAsuntos!E18),NºAsuntos!G18/NºAsuntos!E18," - ")</f>
        <v>0.98537431829449673</v>
      </c>
      <c r="C18" s="859">
        <f>IF(ISNUMBER(NºAsuntos!I18/NºAsuntos!G18),NºAsuntos!I18/NºAsuntos!G18," - ")</f>
        <v>0.58566037735849052</v>
      </c>
      <c r="D18" s="862">
        <f>IF(ISNUMBER('Resol  Asuntos'!D18/NºAsuntos!G18),'Resol  Asuntos'!D18/NºAsuntos!G18," - ")</f>
        <v>0.12150943396226416</v>
      </c>
      <c r="E18" s="861">
        <f>IF(ISNUMBER((NºAsuntos!C18+NºAsuntos!E18)/NºAsuntos!G18),(NºAsuntos!C18+NºAsuntos!E18)/NºAsuntos!G18," - ")</f>
        <v>1.5768553459119496</v>
      </c>
      <c r="G18" s="463"/>
    </row>
    <row r="19" spans="1:7" ht="15.75" customHeight="1" thickTop="1" thickBot="1">
      <c r="A19" s="793" t="str">
        <f>Datos!A19</f>
        <v>TOTAL JURISDICCIONES</v>
      </c>
      <c r="B19" s="808">
        <f>IF(ISNUMBER(NºAsuntos!G19/NºAsuntos!E19),NºAsuntos!G19/NºAsuntos!E19," - ")</f>
        <v>0.97981600988603601</v>
      </c>
      <c r="C19" s="809">
        <f>IF(ISNUMBER(NºAsuntos!I19/NºAsuntos!G19),NºAsuntos!I19/NºAsuntos!G19," - ")</f>
        <v>1.2366872197309418</v>
      </c>
      <c r="D19" s="810">
        <f>IF(ISNUMBER('Resol  Asuntos'!D19/NºAsuntos!G19),'Resol  Asuntos'!D19/NºAsuntos!G19," - ")</f>
        <v>0.16227578475336324</v>
      </c>
      <c r="E19" s="811">
        <f>IF(ISNUMBER((NºAsuntos!C19+NºAsuntos!E19)/NºAsuntos!G19),(NºAsuntos!C19+NºAsuntos!E19)/NºAsuntos!G19," - ")</f>
        <v>2.2305213004484306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exogZySZUtnThSJ/owNRH8eXte+VP+kIkY8OLqqXh2N2pCcSNft/SDwgbUP/bMDXIH7lk/F1anCQeW1OpRgUw==" saltValue="Eh0JWhIgJtKsLI7MLjMGe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ARRECIFE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408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532</v>
      </c>
      <c r="Y9" s="334">
        <f>SUM(W9:X9)</f>
        <v>532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7256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661</v>
      </c>
      <c r="AJ9" s="229" t="str">
        <f>IF(ISNUMBER(Datos!BW9),Datos!BW9," - ")</f>
        <v xml:space="preserve"> - </v>
      </c>
      <c r="AK9" s="228" t="str">
        <f>IF(ISNUMBER(Datos!BX9),Datos!BX9," - ")</f>
        <v xml:space="preserve"> - </v>
      </c>
      <c r="AL9" s="243">
        <f>IF(ISNUMBER(NºAsuntos!G9/NºAsuntos!E9),NºAsuntos!G9/NºAsuntos!E9," - ")</f>
        <v>0.97265382224984465</v>
      </c>
      <c r="AM9" s="260">
        <f>IF(ISNUMBER(((NºAsuntos!I9/NºAsuntos!G9)*11)/factor_trimestre),((NºAsuntos!I9/NºAsuntos!G9)*11)/factor_trimestre," - ")</f>
        <v>4.1418530351437699</v>
      </c>
      <c r="AN9" s="244">
        <f>IF(ISNUMBER('Resol  Asuntos'!D9/NºAsuntos!G9),'Resol  Asuntos'!D9/NºAsuntos!G9," - ")</f>
        <v>0.21118210862619807</v>
      </c>
      <c r="AO9" s="245">
        <f>IF(ISNUMBER((NºAsuntos!C9+NºAsuntos!E9)/NºAsuntos!G9),(NºAsuntos!C9+NºAsuntos!E9)/NºAsuntos!G9," - ")</f>
        <v>3.0680511182108625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0</v>
      </c>
      <c r="Y10" s="334">
        <f t="shared" ref="Y10:Y12" si="0">SUM(W10:X10)</f>
        <v>31</v>
      </c>
      <c r="Z10" s="335" t="str">
        <f>IF(ISNUMBER(Datos!CC10),Datos!CC10," - ")</f>
        <v xml:space="preserve"> - </v>
      </c>
      <c r="AA10" s="332">
        <f>IF(ISNUMBER(Datos!L10),Datos!L10,"-")</f>
        <v>15</v>
      </c>
      <c r="AB10" s="334">
        <f>IF(ISNUMBER(Datos!R10),Datos!R10," - ")</f>
        <v>32</v>
      </c>
      <c r="AC10" s="334">
        <f t="shared" ref="AC10:AC12" si="1">IF(ISNUMBER(AA10+AB10),AA10+AB10," - ")</f>
        <v>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0.96774193548387089</v>
      </c>
      <c r="AN10" s="244">
        <f>IF(ISNUMBER('Resol  Asuntos'!D10/NºAsuntos!G10),'Resol  Asuntos'!D10/NºAsuntos!G10," - ")</f>
        <v>0.45161290322580644</v>
      </c>
      <c r="AO10" s="245">
        <f>IF(ISNUMBER((NºAsuntos!C10+NºAsuntos!E10)/NºAsuntos!G10),(NºAsuntos!C10+NºAsuntos!E10)/NºAsuntos!G10," - ")</f>
        <v>1.4838709677419355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15</v>
      </c>
      <c r="G13" s="866">
        <f t="shared" si="3"/>
        <v>15</v>
      </c>
      <c r="H13" s="865">
        <f t="shared" si="3"/>
        <v>0</v>
      </c>
      <c r="I13" s="867">
        <f t="shared" si="3"/>
        <v>0</v>
      </c>
      <c r="J13" s="867">
        <f t="shared" si="3"/>
        <v>0</v>
      </c>
      <c r="K13" s="867">
        <f t="shared" si="3"/>
        <v>0</v>
      </c>
      <c r="L13" s="867">
        <f t="shared" si="3"/>
        <v>408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532</v>
      </c>
      <c r="Y13" s="868">
        <f t="shared" si="4"/>
        <v>563</v>
      </c>
      <c r="Z13" s="868">
        <f t="shared" si="4"/>
        <v>0</v>
      </c>
      <c r="AA13" s="868">
        <f t="shared" si="4"/>
        <v>15</v>
      </c>
      <c r="AB13" s="868">
        <f t="shared" si="4"/>
        <v>7288</v>
      </c>
      <c r="AC13" s="868">
        <f t="shared" si="4"/>
        <v>47</v>
      </c>
      <c r="AD13" s="868">
        <f t="shared" si="4"/>
        <v>0</v>
      </c>
      <c r="AE13" s="872">
        <f t="shared" si="4"/>
        <v>0</v>
      </c>
      <c r="AF13" s="865">
        <f t="shared" si="4"/>
        <v>0</v>
      </c>
      <c r="AG13" s="873">
        <f t="shared" si="4"/>
        <v>0</v>
      </c>
      <c r="AH13" s="870">
        <f t="shared" si="4"/>
        <v>0</v>
      </c>
      <c r="AI13" s="865">
        <f t="shared" si="4"/>
        <v>675</v>
      </c>
      <c r="AJ13" s="867">
        <f t="shared" si="4"/>
        <v>0</v>
      </c>
      <c r="AK13" s="870">
        <f>SUBTOTAL(9,AK9:AK12)</f>
        <v>0</v>
      </c>
      <c r="AL13" s="874">
        <f>IF(ISNUMBER(NºAsuntos!G13/NºAsuntos!E13),NºAsuntos!G13/NºAsuntos!E13," - ")</f>
        <v>0.97291474299784553</v>
      </c>
      <c r="AM13" s="874">
        <f>IF(ISNUMBER(((NºAsuntos!I13/NºAsuntos!G13)*11)/factor_trimestre),((NºAsuntos!I13/NºAsuntos!G13)*11)/factor_trimestre," - ")</f>
        <v>4.1107244542866184</v>
      </c>
      <c r="AN13" s="875">
        <f>IF(ISNUMBER('Resol  Asuntos'!D13/NºAsuntos!G13),'Resol  Asuntos'!D13/NºAsuntos!G13," - ")</f>
        <v>0.21354001898133501</v>
      </c>
      <c r="AO13" s="876">
        <f>IF(ISNUMBER((NºAsuntos!C13+NºAsuntos!E13)/NºAsuntos!G13),(NºAsuntos!C13+NºAsuntos!E13)/NºAsuntos!G13," - ")</f>
        <v>3.0525150268902248</v>
      </c>
      <c r="AP13" s="877" t="str">
        <f t="shared" si="2"/>
        <v xml:space="preserve"> - </v>
      </c>
      <c r="AQ13" s="877">
        <f>IF(ISNUMBER((H13-W13+K13)/(F13)),(H13-W13+K13)/(F13)," - ")</f>
        <v>-2.0666666666666669</v>
      </c>
      <c r="AR13" s="878">
        <f>IF(ISNUMBER((Datos!P13-Datos!Q13)/(Datos!R13-Datos!P13+Datos!Q13)),(Datos!P13-Datos!Q13)/(Datos!R13-Datos!P13+Datos!Q13)," - ")</f>
        <v>-1.6729627630868861E-2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2178</v>
      </c>
      <c r="G15" s="333">
        <f>IF(ISNUMBER(IF(D_I="SI",Datos!I15,Datos!I15+Datos!AC15)),IF(D_I="SI",Datos!I15,Datos!I15+Datos!AC15)," - ")</f>
        <v>2143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3801</v>
      </c>
      <c r="X15" s="226">
        <f>IF(ISNUMBER(Datos!Q15),Datos!Q15," - ")</f>
        <v>58</v>
      </c>
      <c r="Y15" s="334">
        <f>SUM(W15)</f>
        <v>3801</v>
      </c>
      <c r="Z15" s="335" t="str">
        <f>IF(ISNUMBER(Datos!CC15),Datos!CC15," - ")</f>
        <v xml:space="preserve"> - </v>
      </c>
      <c r="AA15" s="332">
        <f>IF(ISNUMBER(IF(D_I="SI",Datos!L15,Datos!L15+Datos!AF15)),IF(D_I="SI",Datos!L15,Datos!L15+Datos!AF15)," - ")</f>
        <v>2228</v>
      </c>
      <c r="AB15" s="334">
        <f>IF(ISNUMBER(Datos!R15),Datos!R15," - ")</f>
        <v>351</v>
      </c>
      <c r="AC15" s="334">
        <f t="shared" ref="AC15:AC17" si="6">IF(ISNUMBER(AA15+AB15),AA15+AB15," - ")</f>
        <v>2579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425</v>
      </c>
      <c r="AJ15" s="231" t="str">
        <f>IF(ISNUMBER(Datos!BW15),Datos!BW15," - ")</f>
        <v xml:space="preserve"> - </v>
      </c>
      <c r="AK15" s="232" t="str">
        <f>IF(ISNUMBER(Datos!BX15),Datos!BX15," - ")</f>
        <v xml:space="preserve"> - </v>
      </c>
      <c r="AL15" s="243">
        <f>IF(ISNUMBER(NºAsuntos!G15/NºAsuntos!E15),NºAsuntos!G15/NºAsuntos!E15," - ")</f>
        <v>0.98701635938717214</v>
      </c>
      <c r="AM15" s="260">
        <f>IF(ISNUMBER(((NºAsuntos!I15/NºAsuntos!G15)*11)/factor_trimestre),((NºAsuntos!I15/NºAsuntos!G15)*11)/factor_trimestre," - ")</f>
        <v>1.1723230728755591</v>
      </c>
      <c r="AN15" s="244">
        <f>IF(ISNUMBER('Resol  Asuntos'!D15/NºAsuntos!G15),'Resol  Asuntos'!D15/NºAsuntos!G15," - ")</f>
        <v>0.11181268087345435</v>
      </c>
      <c r="AO15" s="245">
        <f>IF(ISNUMBER((NºAsuntos!C15+NºAsuntos!E15)/NºAsuntos!G15),(NºAsuntos!C15+NºAsuntos!E15)/NºAsuntos!G15," - ")</f>
        <v>1.5769534333070245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1</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174</v>
      </c>
      <c r="X17" s="226">
        <f>IF(ISNUMBER(Datos!Q17),Datos!Q17," - ")</f>
        <v>4</v>
      </c>
      <c r="Y17" s="334">
        <f t="shared" si="7"/>
        <v>178</v>
      </c>
      <c r="Z17" s="335" t="str">
        <f>IF(ISNUMBER(Datos!CC17),Datos!CC17," - ")</f>
        <v xml:space="preserve"> - </v>
      </c>
      <c r="AA17" s="332">
        <f>IF(ISNUMBER(Datos!L17),Datos!L17,"-")</f>
        <v>100</v>
      </c>
      <c r="AB17" s="334">
        <f>IF(ISNUMBER(Datos!R17),Datos!R17," - ")</f>
        <v>35</v>
      </c>
      <c r="AC17" s="334">
        <f t="shared" si="6"/>
        <v>135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58</v>
      </c>
      <c r="AJ17" s="231" t="str">
        <f>IF(ISNUMBER(Datos!BW17),Datos!BW17," - ")</f>
        <v xml:space="preserve"> - </v>
      </c>
      <c r="AK17" s="232" t="str">
        <f>IF(ISNUMBER(Datos!BX17),Datos!BX17," - ")</f>
        <v xml:space="preserve"> - </v>
      </c>
      <c r="AL17" s="243">
        <f>IF(ISNUMBER(NºAsuntos!G17/NºAsuntos!E17),NºAsuntos!G17/NºAsuntos!E17," - ")</f>
        <v>0.95081967213114749</v>
      </c>
      <c r="AM17" s="260">
        <f>IF(ISNUMBER(((NºAsuntos!I17/NºAsuntos!G17)*11)/factor_trimestre),((NºAsuntos!I17/NºAsuntos!G17)*11)/factor_trimestre," - ")</f>
        <v>1.1494252873563218</v>
      </c>
      <c r="AN17" s="244">
        <f>IF(ISNUMBER('Resol  Asuntos'!D17/NºAsuntos!G17),'Resol  Asuntos'!D17/NºAsuntos!G17," - ")</f>
        <v>0.33333333333333331</v>
      </c>
      <c r="AO17" s="245">
        <f>IF(ISNUMBER((NºAsuntos!C17+NºAsuntos!E17)/NºAsuntos!G17),(NºAsuntos!C17+NºAsuntos!E17)/NºAsuntos!G17," - ")</f>
        <v>1.5747126436781609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2178</v>
      </c>
      <c r="G18" s="866">
        <f>SUBTOTAL(9,G15:G17)</f>
        <v>2234</v>
      </c>
      <c r="H18" s="865">
        <f t="shared" ref="H18:O18" si="10">SUBTOTAL(9,H14:H17)</f>
        <v>0</v>
      </c>
      <c r="I18" s="867">
        <f t="shared" si="10"/>
        <v>0</v>
      </c>
      <c r="J18" s="867">
        <f t="shared" si="10"/>
        <v>0</v>
      </c>
      <c r="K18" s="867">
        <f t="shared" si="10"/>
        <v>0</v>
      </c>
      <c r="L18" s="867">
        <f t="shared" si="10"/>
        <v>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3975</v>
      </c>
      <c r="X18" s="867">
        <f t="shared" si="11"/>
        <v>62</v>
      </c>
      <c r="Y18" s="868">
        <f t="shared" si="11"/>
        <v>3979</v>
      </c>
      <c r="Z18" s="868">
        <f t="shared" si="11"/>
        <v>0</v>
      </c>
      <c r="AA18" s="868">
        <f t="shared" si="11"/>
        <v>2328</v>
      </c>
      <c r="AB18" s="868">
        <f t="shared" si="11"/>
        <v>387</v>
      </c>
      <c r="AC18" s="868">
        <f t="shared" si="11"/>
        <v>2715</v>
      </c>
      <c r="AD18" s="868">
        <f t="shared" si="11"/>
        <v>0</v>
      </c>
      <c r="AE18" s="872">
        <f t="shared" si="11"/>
        <v>0</v>
      </c>
      <c r="AF18" s="865">
        <f t="shared" si="11"/>
        <v>0</v>
      </c>
      <c r="AG18" s="873">
        <f t="shared" si="11"/>
        <v>0</v>
      </c>
      <c r="AH18" s="870">
        <f t="shared" si="11"/>
        <v>0</v>
      </c>
      <c r="AI18" s="865">
        <f t="shared" si="11"/>
        <v>483</v>
      </c>
      <c r="AJ18" s="867">
        <f t="shared" si="11"/>
        <v>0</v>
      </c>
      <c r="AK18" s="870">
        <f t="shared" si="11"/>
        <v>0</v>
      </c>
      <c r="AL18" s="874">
        <f>IF(ISNUMBER(NºAsuntos!G18/NºAsuntos!E18),NºAsuntos!G18/NºAsuntos!E18," - ")</f>
        <v>0.98537431829449673</v>
      </c>
      <c r="AM18" s="874">
        <f>IF(ISNUMBER(((NºAsuntos!I18/NºAsuntos!G18)*11)/factor_trimestre),((NºAsuntos!I18/NºAsuntos!G18)*11)/factor_trimestre," - ")</f>
        <v>1.171320754716981</v>
      </c>
      <c r="AN18" s="875">
        <f>IF(ISNUMBER('Resol  Asuntos'!D18/NºAsuntos!G18),'Resol  Asuntos'!D18/NºAsuntos!G18," - ")</f>
        <v>0.12150943396226416</v>
      </c>
      <c r="AO18" s="876">
        <f>IF(ISNUMBER((NºAsuntos!C18+NºAsuntos!E18)/NºAsuntos!G18),(NºAsuntos!C18+NºAsuntos!E18)/NºAsuntos!G18," - ")</f>
        <v>1.5768553459119496</v>
      </c>
      <c r="AP18" s="877" t="str">
        <f t="shared" si="2"/>
        <v xml:space="preserve"> - </v>
      </c>
      <c r="AQ18" s="877">
        <f>IF(ISNUMBER((H18-W18+K18)/(F18)),(H18-W18+K18)/(F18)," - ")</f>
        <v>-1.8250688705234159</v>
      </c>
      <c r="AR18" s="878">
        <f>IF(ISNUMBER((Datos!P18-Datos!Q18)/(Datos!R18-Datos!P18+Datos!Q18)),(Datos!P18-Datos!Q18)/(Datos!R18-Datos!P18+Datos!Q18)," - ")</f>
        <v>2.6525198938992044E-2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2193</v>
      </c>
      <c r="G19" s="821">
        <f t="shared" si="13"/>
        <v>2249</v>
      </c>
      <c r="H19" s="820">
        <f t="shared" si="13"/>
        <v>0</v>
      </c>
      <c r="I19" s="822">
        <f t="shared" si="13"/>
        <v>0</v>
      </c>
      <c r="J19" s="822">
        <f t="shared" si="13"/>
        <v>0</v>
      </c>
      <c r="K19" s="881">
        <f t="shared" si="13"/>
        <v>0</v>
      </c>
      <c r="L19" s="822">
        <f t="shared" si="13"/>
        <v>480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4006</v>
      </c>
      <c r="X19" s="821">
        <f t="shared" si="14"/>
        <v>594</v>
      </c>
      <c r="Y19" s="828">
        <f t="shared" si="14"/>
        <v>4542</v>
      </c>
      <c r="Z19" s="828">
        <f t="shared" si="14"/>
        <v>0</v>
      </c>
      <c r="AA19" s="828">
        <f t="shared" si="14"/>
        <v>2343</v>
      </c>
      <c r="AB19" s="828">
        <f t="shared" si="14"/>
        <v>7675</v>
      </c>
      <c r="AC19" s="828">
        <f t="shared" si="14"/>
        <v>2762</v>
      </c>
      <c r="AD19" s="828">
        <f t="shared" si="14"/>
        <v>0</v>
      </c>
      <c r="AE19" s="830">
        <f t="shared" si="14"/>
        <v>0</v>
      </c>
      <c r="AF19" s="831">
        <f t="shared" si="14"/>
        <v>0</v>
      </c>
      <c r="AG19" s="832">
        <f t="shared" si="14"/>
        <v>0</v>
      </c>
      <c r="AH19" s="830">
        <f t="shared" si="14"/>
        <v>0</v>
      </c>
      <c r="AI19" s="820">
        <f t="shared" si="14"/>
        <v>1158</v>
      </c>
      <c r="AJ19" s="820">
        <f t="shared" si="14"/>
        <v>0</v>
      </c>
      <c r="AK19" s="830">
        <f t="shared" si="14"/>
        <v>0</v>
      </c>
      <c r="AL19" s="884">
        <f>IF(ISNUMBER(NºAsuntos!G19/NºAsuntos!E19),NºAsuntos!G19/NºAsuntos!E19," - ")</f>
        <v>0.97981600988603601</v>
      </c>
      <c r="AM19" s="885">
        <f>IF(ISNUMBER(((NºAsuntos!I19/NºAsuntos!G19)*11)/factor_trimestre),((NºAsuntos!I19/NºAsuntos!G19)*11)/factor_trimestre," - ")</f>
        <v>2.4733744394618835</v>
      </c>
      <c r="AN19" s="885">
        <f>IF(ISNUMBER('Resol  Asuntos'!D19/NºAsuntos!G19),'Resol  Asuntos'!D19/NºAsuntos!G19," - ")</f>
        <v>0.16227578475336324</v>
      </c>
      <c r="AO19" s="886">
        <f>IF(ISNUMBER((NºAsuntos!C19+NºAsuntos!E19)/NºAsuntos!G19),(NºAsuntos!C19+NºAsuntos!E19)/NºAsuntos!G19," - ")</f>
        <v>2.2305213004484306</v>
      </c>
      <c r="AP19" s="887" t="str">
        <f t="shared" si="2"/>
        <v xml:space="preserve"> - </v>
      </c>
      <c r="AQ19" s="888">
        <f>IF(OR(ISNUMBER(FIND("01",Criterios!A8,1)),ISNUMBER(FIND("02",Criterios!A8,1)),ISNUMBER(FIND("03",Criterios!A8,1)),ISNUMBER(FIND("04",Criterios!A8,1))),(I19-W19+K19)/(F19-K19),(H19-W19+K19)/(F19-K19))</f>
        <v>-1.8267213862289102</v>
      </c>
      <c r="AR19" s="889">
        <f>IF(ISNUMBER((Datos!P19-Datos!Q19)/(Datos!R19-Datos!P19+Datos!Q19)),(Datos!P19-Datos!Q19)/(Datos!R19-Datos!P19+Datos!Q19)," - ")</f>
        <v>-1.4636025163692386E-2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749.66666666666663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2.3979157616563596</v>
      </c>
      <c r="F21" s="252">
        <f>IF(ISNUMBER(STDEV(F8:F18)),STDEV(F8:F18),"-")</f>
        <v>1187.4782945384727</v>
      </c>
      <c r="G21" s="253">
        <f>IF(ISNUMBER(STDEV(G8:G18)),STDEV(G8:G18),"-")</f>
        <v>1115.3416815786393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1978.9761662704952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301.04120901266913</v>
      </c>
      <c r="AJ21" s="252">
        <f t="shared" si="18"/>
        <v>0</v>
      </c>
      <c r="AK21" s="254">
        <f t="shared" si="18"/>
        <v>0</v>
      </c>
      <c r="AL21" s="249">
        <f t="shared" si="18"/>
        <v>1.680943703499805E-2</v>
      </c>
      <c r="AM21" s="250">
        <f t="shared" si="18"/>
        <v>1.5568342270184869</v>
      </c>
      <c r="AN21" s="250">
        <f t="shared" si="18"/>
        <v>0.13076103847261944</v>
      </c>
      <c r="AO21" s="251">
        <f t="shared" si="18"/>
        <v>0.77914343794302321</v>
      </c>
      <c r="AP21" s="291" t="str">
        <f t="shared" si="18"/>
        <v>-</v>
      </c>
      <c r="AQ21" s="292">
        <f t="shared" si="18"/>
        <v>0.17083543997261785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43h7KXQaOp+0w6TZLipOBOAfUIXenzh4LfZewwNqn1Q52HScwF5IhUDY1R+84P9wRoxVkfAEQk7vmCmmieBYQ==" saltValue="yAzHYU7iHGM2g3/FV7Li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ARRECIFE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0.72584856396866837</v>
      </c>
      <c r="I9" s="350">
        <f>IF(ISNUMBER((Tasas!C9-Datos!BE9)/Datos!BE9),(Tasas!C9-Datos!BE9)/Datos!BE9," - ")</f>
        <v>-0.16254172695883895</v>
      </c>
      <c r="J9" s="349">
        <f>IF(ISNUMBER((Tasas!D9-Datos!BF9)/Datos!BF9),(Tasas!D9-Datos!BF9)/Datos!BF9," - ")</f>
        <v>-0.66526376379086616</v>
      </c>
      <c r="K9" s="351">
        <f>IF(ISNUMBER((Tasas!E9-Datos!BG9)/Datos!BG9),(Tasas!E9-Datos!BG9)/Datos!BG9," - ")</f>
        <v>-0.11565878156593289</v>
      </c>
      <c r="M9" t="e">
        <f>IF(Monitorios="SI",Datos!CE9,0)</f>
        <v>#REF!</v>
      </c>
      <c r="N9" t="e">
        <f>IF(Monitorios="SI",Datos!CF9,0)</f>
        <v>#REF!</v>
      </c>
      <c r="O9" t="e">
        <f>IF(Monitorios="SI",Datos!CG9,0)</f>
        <v>#REF!</v>
      </c>
      <c r="P9" t="e">
        <f>IF(Monitorios="SI",Datos!CH9,0)</f>
        <v>#REF!</v>
      </c>
      <c r="Q9">
        <f>IF(J_V="SI",0,Datos!AG9)</f>
        <v>196</v>
      </c>
      <c r="R9">
        <f>IF(J_V="SI",0,Datos!AH9)</f>
        <v>83</v>
      </c>
      <c r="S9">
        <f>IF(J_V="SI",0,Datos!AI9)</f>
        <v>88</v>
      </c>
      <c r="T9">
        <f>IF(J_V="SI",0,Datos!AJ9)</f>
        <v>193</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0.47619047619047616</v>
      </c>
      <c r="F10" s="348">
        <f>IF(ISNUMBER((Datos!K10-Datos!U10)/Datos!U10),(Datos!K10-Datos!U10)/Datos!U10," - ")</f>
        <v>0.82352941176470584</v>
      </c>
      <c r="G10" s="349">
        <f>IF(ISNUMBER((Datos!L10-Datos!V10)/Datos!V10),(Datos!L10-Datos!V10)/Datos!V10," - ")</f>
        <v>-0.16666666666666666</v>
      </c>
      <c r="H10" s="230">
        <f>IF(ISNUMBER((Datos!M10-Datos!W10)/Datos!W10),(Datos!M10-Datos!W10)/Datos!W10," - ")</f>
        <v>6</v>
      </c>
      <c r="I10" s="350">
        <f>IF(ISNUMBER((Tasas!C10-Datos!BE10)/Datos!BE10),(Tasas!C10-Datos!BE10)/Datos!BE10," - ")</f>
        <v>-0.543010752688172</v>
      </c>
      <c r="J10" s="349">
        <f>IF(ISNUMBER((Tasas!D10-Datos!BF10)/Datos!BF10),(Tasas!D10-Datos!BF10)/Datos!BF10," - ")</f>
        <v>2.838709677419355</v>
      </c>
      <c r="K10" s="351">
        <f>IF(ISNUMBER((Tasas!E10-Datos!BG10)/Datos!BG10),(Tasas!E10-Datos!BG10)/Datos!BG10," - ")</f>
        <v>-0.27926267281105982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0.75324675324675328</v>
      </c>
      <c r="I13" s="357">
        <f>IF(ISNUMBER((Tasas!C13-Datos!BE13)/Datos!BE13),(Tasas!C13-Datos!BE13)/Datos!BE13," - ")</f>
        <v>-0.1656450365061814</v>
      </c>
      <c r="J13" s="355">
        <f>IF(ISNUMBER((Tasas!D13-Datos!BF13)/Datos!BF13),(Tasas!D13-Datos!BF13)/Datos!BF13," - ")</f>
        <v>-0.65967477852629863</v>
      </c>
      <c r="K13" s="358">
        <f>IF(ISNUMBER((Tasas!E13-Datos!BG13)/Datos!BG13),(Tasas!E13-Datos!BG13)/Datos!BG13," - ")</f>
        <v>-0.11773812412109708</v>
      </c>
      <c r="M13" t="e">
        <f>IF(Monitorios="SI",Datos!CE13,0)</f>
        <v>#REF!</v>
      </c>
      <c r="N13" t="e">
        <f>IF(Monitorios="SI",Datos!CF13,0)</f>
        <v>#REF!</v>
      </c>
      <c r="O13" t="e">
        <f>IF(Monitorios="SI",Datos!CG13,0)</f>
        <v>#REF!</v>
      </c>
      <c r="P13" t="e">
        <f>IF(Monitorios="SI",Datos!CH13,0)</f>
        <v>#REF!</v>
      </c>
      <c r="Q13">
        <f>IF(J_V="SI",0,Datos!AG13)</f>
        <v>196</v>
      </c>
      <c r="R13">
        <f>IF(J_V="SI",0,Datos!AH13)</f>
        <v>83</v>
      </c>
      <c r="S13">
        <f>IF(J_V="SI",0,Datos!AI13)</f>
        <v>88</v>
      </c>
      <c r="T13">
        <f>IF(J_V="SI",0,Datos!AJ13)</f>
        <v>193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0.27635497319833235</v>
      </c>
      <c r="E15" s="348">
        <f>IF(ISNUMBER(
   IF(D_I="SI",(Datos!J15-Datos!T15)/Datos!T15,(Datos!J15+Datos!AD15-(Datos!T15+Datos!AL15))/(Datos!T15+Datos!AL15))
     ),IF(D_I="SI",(Datos!J15-Datos!T15)/Datos!T15,(Datos!J15+Datos!AD15-(Datos!T15+Datos!AL15))/(Datos!T15+Datos!AL15))," - ")</f>
        <v>8.1437798371244027E-2</v>
      </c>
      <c r="F15" s="348">
        <f>IF(ISNUMBER(
   IF(D_I="SI",(Datos!K15-Datos!U15)/Datos!U15,(Datos!K15+Datos!AE15-(Datos!U15+Datos!AM15))/(Datos!U15+Datos!AM15))
     ),IF(D_I="SI",(Datos!K15-Datos!U15)/Datos!U15,(Datos!K15+Datos!AE15-(Datos!U15+Datos!AM15))/(Datos!U15+Datos!AM15))," - ")</f>
        <v>8.7553648068669526E-2</v>
      </c>
      <c r="G15" s="349">
        <f>IF(ISNUMBER(
   IF(D_I="SI",(Datos!L15-Datos!V15)/Datos!V15,(Datos!L15+Datos!AF15-(Datos!V15+Datos!AN15))/(Datos!V15+Datos!AN15))
     ),IF(D_I="SI",(Datos!L15-Datos!V15)/Datos!V15,(Datos!L15+Datos!AF15-(Datos!V15+Datos!AN15))/(Datos!V15+Datos!AN15))," - ")</f>
        <v>0.26447219069239503</v>
      </c>
      <c r="H15" s="230">
        <f>IF(ISNUMBER((Datos!M15-Datos!W15)/Datos!W15),(Datos!M15-Datos!W15)/Datos!W15," - ")</f>
        <v>0.22126436781609196</v>
      </c>
      <c r="I15" s="350">
        <f>IF(ISNUMBER((Tasas!C15-Datos!BE15)/Datos!BE15),(Tasas!C15-Datos!BE15)/Datos!BE15," - ")</f>
        <v>0.16267569230989762</v>
      </c>
      <c r="J15" s="349">
        <f>IF(ISNUMBER((Tasas!D15-Datos!BF15)/Datos!BF15),(Tasas!D15-Datos!BF15)/Datos!BF15," - ")</f>
        <v>0.12294632084115786</v>
      </c>
      <c r="K15" s="351">
        <f>IF(ISNUMBER((Tasas!E15-Datos!BG15)/Datos!BG15),(Tasas!E15-Datos!BG15)/Datos!BG15," - ")</f>
        <v>5.1803864390849365E-2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2.247191011235955E-2</v>
      </c>
      <c r="E17" s="348">
        <f>IF(ISNUMBER(
   IF(D_I="SI",(Datos!J17-Datos!T17)/Datos!T17,(Datos!J17+Datos!AD17-(Datos!T17+Datos!AL17))/(Datos!T17+Datos!AL17))
     ),IF(D_I="SI",(Datos!J17-Datos!T17)/Datos!T17,(Datos!J17+Datos!AD17-(Datos!T17+Datos!AL17))/(Datos!T17+Datos!AL17))," - ")</f>
        <v>0.14374999999999999</v>
      </c>
      <c r="F17" s="348">
        <f>IF(ISNUMBER(
   IF(D_I="SI",(Datos!K17-Datos!U17)/Datos!U17,(Datos!K17+Datos!AE17-(Datos!U17+Datos!AM17))/(Datos!U17+Datos!AM17))
     ),IF(D_I="SI",(Datos!K17-Datos!U17)/Datos!U17,(Datos!K17+Datos!AE17-(Datos!U17+Datos!AM17))/(Datos!U17+Datos!AM17))," - ")</f>
        <v>3.5714285714285712E-2</v>
      </c>
      <c r="G17" s="349">
        <f>IF(ISNUMBER(
   IF(D_I="SI",(Datos!L17-Datos!V17)/Datos!V17,(Datos!L17+Datos!AF17-(Datos!V17+Datos!AN17))/(Datos!V17+Datos!AN17))
     ),IF(D_I="SI",(Datos!L17-Datos!V17)/Datos!V17,(Datos!L17+Datos!AF17-(Datos!V17+Datos!AN17))/(Datos!V17+Datos!AN17))," - ")</f>
        <v>0.23456790123456789</v>
      </c>
      <c r="H17" s="230">
        <f>IF(ISNUMBER((Datos!M17-Datos!W17)/Datos!W17),(Datos!M17-Datos!W17)/Datos!W17," - ")</f>
        <v>0.23404255319148937</v>
      </c>
      <c r="I17" s="350">
        <f>IF(ISNUMBER((Tasas!C17-Datos!BE17)/Datos!BE17),(Tasas!C17-Datos!BE17)/Datos!BE17," - ")</f>
        <v>0.19199659429544477</v>
      </c>
      <c r="J17" s="349">
        <f>IF(ISNUMBER((Tasas!D17-Datos!BF17)/Datos!BF17),(Tasas!D17-Datos!BF17)/Datos!BF17," - ")</f>
        <v>0.19148936170212758</v>
      </c>
      <c r="K17" s="351">
        <f>IF(ISNUMBER((Tasas!E17-Datos!BG17)/Datos!BG17),(Tasas!E17-Datos!BG17)/Datos!BG17," - ")</f>
        <v>6.2456723445506096E-2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0.26286037309214244</v>
      </c>
      <c r="E18" s="354">
        <f>IF(ISNUMBER(
   IF(D_I="SI",(Datos!J18-Datos!T18)/Datos!T18,(Datos!J18+Datos!AD18-(Datos!T18+Datos!AL18))/(Datos!T18+Datos!AL18))
     ),IF(D_I="SI",(Datos!J18-Datos!T18)/Datos!T18,(Datos!J18+Datos!AD18-(Datos!T18+Datos!AL18))/(Datos!T18+Datos!AL18))," - ")</f>
        <v>8.411717280300994E-2</v>
      </c>
      <c r="F18" s="354">
        <f>IF(ISNUMBER(
   IF(D_I="SI",(Datos!K18-Datos!U18)/Datos!U18,(Datos!K18+Datos!AE18-(Datos!U18+Datos!AM18))/(Datos!U18+Datos!AM18))
     ),IF(D_I="SI",(Datos!K18-Datos!U18)/Datos!U18,(Datos!K18+Datos!AE18-(Datos!U18+Datos!AM18))/(Datos!U18+Datos!AM18))," - ")</f>
        <v>8.5176085176085173E-2</v>
      </c>
      <c r="G18" s="355">
        <f>IF(ISNUMBER(
   IF(D_I="SI",(Datos!L18-Datos!V18)/Datos!V18,(Datos!L18+Datos!AF18-(Datos!V18+Datos!AN18))/(Datos!V18+Datos!AN18))
     ),IF(D_I="SI",(Datos!L18-Datos!V18)/Datos!V18,(Datos!L18+Datos!AF18-(Datos!V18+Datos!AN18))/(Datos!V18+Datos!AN18))," - ")</f>
        <v>0.26247288503253796</v>
      </c>
      <c r="H18" s="356">
        <f>IF(ISNUMBER((Datos!M18-Datos!W18)/Datos!W18),(Datos!M18-Datos!W18)/Datos!W18," - ")</f>
        <v>0.22278481012658227</v>
      </c>
      <c r="I18" s="357">
        <f>IF(ISNUMBER((Tasas!C18-Datos!BE18)/Datos!BE18),(Tasas!C18-Datos!BE18)/Datos!BE18," - ")</f>
        <v>0.16338067367904052</v>
      </c>
      <c r="J18" s="355">
        <f>IF(ISNUMBER((Tasas!D18-Datos!BF18)/Datos!BF18),(Tasas!D18-Datos!BF18)/Datos!BF18," - ")</f>
        <v>0.1268077382374016</v>
      </c>
      <c r="K18" s="358">
        <f>IF(ISNUMBER((Tasas!E18-Datos!BG18)/Datos!BG18),(Tasas!E18-Datos!BG18)/Datos!BG18," - ")</f>
        <v>5.2098566862563075E-2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7.44151319064211E-2</v>
      </c>
      <c r="E19" s="363">
        <f>IF(ISNUMBER(
   IF(J_V="SI",(Datos!J19-Datos!T19)/Datos!T19,(Datos!J19+Datos!Z19-(Datos!T19+Datos!AH19))/(Datos!T19+Datos!AH19))
     ),IF(J_V="SI",(Datos!J19-Datos!T19)/Datos!T19,(Datos!J19+Datos!Z19-(Datos!T19+Datos!AH19))/(Datos!T19+Datos!AH19))," - ")</f>
        <v>0.16546647463594175</v>
      </c>
      <c r="F19" s="363">
        <f>IF(ISNUMBER(
   IF(J_V="SI",(Datos!K19-Datos!U19)/Datos!U19,(Datos!K19+Datos!AA19-(Datos!U19+Datos!AI19))/(Datos!U19+Datos!AI19))
     ),IF(J_V="SI",(Datos!K19-Datos!U19)/Datos!U19,(Datos!K19+Datos!AA19-(Datos!U19+Datos!AI19))/(Datos!U19+Datos!AI19))," - ")</f>
        <v>0.1500402900886382</v>
      </c>
      <c r="G19" s="364">
        <f>IF(ISNUMBER(
   IF(J_V="SI",(Datos!L19-Datos!V19)/Datos!V19,(Datos!L19+Datos!AB19-(Datos!V19+Datos!AJ19))/(Datos!V19+Datos!AJ19))
     ),IF(J_V="SI",(Datos!L19-Datos!V19)/Datos!V19,(Datos!L19+Datos!AB19-(Datos!V19+Datos!AJ19))/(Datos!V19+Datos!AJ19))," - ")</f>
        <v>8.869972859610166E-2</v>
      </c>
      <c r="H19" s="365">
        <f>IF(ISNUMBER((Datos!M19-Datos!W19)/Datos!W19),(Datos!M19-Datos!W19)/Datos!W19," - ")</f>
        <v>0.48461538461538461</v>
      </c>
      <c r="I19" s="362">
        <f>IF(ISNUMBER((Tasas!C19-Datos!BE19)/Datos!BE19),(Tasas!C19-Datos!BE19)/Datos!BE19," - ")</f>
        <v>-5.3337750008574637E-2</v>
      </c>
      <c r="J19" s="363">
        <f>IF(ISNUMBER((Tasas!D19-Datos!BF19)/Datos!BF19),(Tasas!D19-Datos!BF19)/Datos!BF19," - ")</f>
        <v>-0.49400942492732719</v>
      </c>
      <c r="K19" s="364">
        <f>IF(ISNUMBER((Tasas!E19-Datos!BG19)/Datos!BG19),(Tasas!E19-Datos!BG19)/Datos!BG19," - ")</f>
        <v>-3.112462938169322E-2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0.53013061488572066</v>
      </c>
      <c r="E21" s="278">
        <f t="shared" si="1"/>
        <v>0.1887489261962921</v>
      </c>
      <c r="F21" s="278">
        <f t="shared" si="1"/>
        <v>0.37778058825713712</v>
      </c>
      <c r="G21" s="279">
        <f t="shared" si="1"/>
        <v>0.54516225351670311</v>
      </c>
      <c r="H21" s="285">
        <f t="shared" si="1"/>
        <v>2.2872539704891119</v>
      </c>
      <c r="I21" s="277">
        <f t="shared" si="1"/>
        <v>0.28912035788633511</v>
      </c>
      <c r="J21" s="278">
        <f t="shared" si="1"/>
        <v>1.2935895674560696</v>
      </c>
      <c r="K21" s="279">
        <f t="shared" si="1"/>
        <v>0.13750510739729446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xBwkuurfgvAErPKd5PYUMXuBkQJZyhayihrle2nc/ngfhFU0XB+RGdSOQr3JKCUpkA7hfPG4sCz+bElnZXtsA==" saltValue="QENDUjwgX1t+1DnBbx8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